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" yWindow="-12" windowWidth="11520" windowHeight="9660" tabRatio="599"/>
  </bookViews>
  <sheets>
    <sheet name="ведомственная 1 чтение" sheetId="16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'ведомственная 1 чтение'!$A$8:$L$581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'ведомственная 1 чтение'!$A$1:$M$581</definedName>
  </definedNames>
  <calcPr calcId="125725" fullPrecision="0"/>
</workbook>
</file>

<file path=xl/calcChain.xml><?xml version="1.0" encoding="utf-8"?>
<calcChain xmlns="http://schemas.openxmlformats.org/spreadsheetml/2006/main">
  <c r="J36" i="16"/>
  <c r="F514"/>
  <c r="F580" l="1"/>
  <c r="F579"/>
  <c r="F578"/>
  <c r="F577"/>
  <c r="F570"/>
  <c r="F568"/>
  <c r="F566"/>
  <c r="F565"/>
  <c r="F564"/>
  <c r="F555"/>
  <c r="F553"/>
  <c r="F547"/>
  <c r="F546"/>
  <c r="F540"/>
  <c r="F536"/>
  <c r="F528"/>
  <c r="F526"/>
  <c r="F525"/>
  <c r="F524"/>
  <c r="F523"/>
  <c r="F517"/>
  <c r="F515"/>
  <c r="F508"/>
  <c r="F502"/>
  <c r="F496"/>
  <c r="F493"/>
  <c r="F491"/>
  <c r="F483"/>
  <c r="F480"/>
  <c r="F478"/>
  <c r="F476"/>
  <c r="F473"/>
  <c r="F471"/>
  <c r="F469"/>
  <c r="F467"/>
  <c r="F457"/>
  <c r="F451"/>
  <c r="F449"/>
  <c r="F447"/>
  <c r="F439"/>
  <c r="F437"/>
  <c r="F435"/>
  <c r="F427"/>
  <c r="F426"/>
  <c r="F420"/>
  <c r="F418"/>
  <c r="F415"/>
  <c r="F407"/>
  <c r="F401"/>
  <c r="F398"/>
  <c r="F397"/>
  <c r="F393"/>
  <c r="F391"/>
  <c r="F390"/>
  <c r="F389"/>
  <c r="F388"/>
  <c r="F380"/>
  <c r="F373"/>
  <c r="F363"/>
  <c r="F361"/>
  <c r="F359"/>
  <c r="F348"/>
  <c r="F347"/>
  <c r="F330"/>
  <c r="F324"/>
  <c r="F319"/>
  <c r="F318"/>
  <c r="F317"/>
  <c r="F311"/>
  <c r="F285"/>
  <c r="F283"/>
  <c r="F281"/>
  <c r="F274"/>
  <c r="F272"/>
  <c r="F258"/>
  <c r="F256"/>
  <c r="F250"/>
  <c r="F243"/>
  <c r="F241"/>
  <c r="F236"/>
  <c r="F233"/>
  <c r="F231"/>
  <c r="F228"/>
  <c r="F225"/>
  <c r="F223"/>
  <c r="F221"/>
  <c r="F219"/>
  <c r="F213"/>
  <c r="F206"/>
  <c r="F202"/>
  <c r="F200"/>
  <c r="F199"/>
  <c r="F197"/>
  <c r="F190"/>
  <c r="F179"/>
  <c r="F162"/>
  <c r="F160"/>
  <c r="F158"/>
  <c r="F151"/>
  <c r="F146"/>
  <c r="F141"/>
  <c r="F121"/>
  <c r="F119"/>
  <c r="F113"/>
  <c r="F112"/>
  <c r="F103"/>
  <c r="F102"/>
  <c r="F100"/>
  <c r="F99"/>
  <c r="F97"/>
  <c r="F92"/>
  <c r="F91"/>
  <c r="F89"/>
  <c r="F88"/>
  <c r="F86"/>
  <c r="F85"/>
  <c r="F83"/>
  <c r="F81"/>
  <c r="F62"/>
  <c r="F60"/>
  <c r="F56"/>
  <c r="F50"/>
  <c r="G213" l="1"/>
  <c r="G206"/>
  <c r="G200"/>
  <c r="G223"/>
  <c r="L139" l="1"/>
  <c r="I139"/>
  <c r="J139"/>
  <c r="H138"/>
  <c r="L527"/>
  <c r="L465"/>
  <c r="L454"/>
  <c r="L430"/>
  <c r="L428"/>
  <c r="L413"/>
  <c r="L411"/>
  <c r="L409"/>
  <c r="L405"/>
  <c r="L366"/>
  <c r="L357"/>
  <c r="L355"/>
  <c r="L343"/>
  <c r="L338"/>
  <c r="L326"/>
  <c r="L304"/>
  <c r="L298"/>
  <c r="L291"/>
  <c r="L248"/>
  <c r="L211"/>
  <c r="L184"/>
  <c r="L177"/>
  <c r="L172"/>
  <c r="L170"/>
  <c r="L164"/>
  <c r="L127"/>
  <c r="L95"/>
  <c r="L94"/>
  <c r="L76"/>
  <c r="L71"/>
  <c r="L67"/>
  <c r="J527"/>
  <c r="J465"/>
  <c r="J454"/>
  <c r="J430"/>
  <c r="J428"/>
  <c r="J413"/>
  <c r="J411"/>
  <c r="J409"/>
  <c r="J405"/>
  <c r="J366"/>
  <c r="J357"/>
  <c r="J355"/>
  <c r="J343"/>
  <c r="J338"/>
  <c r="J326"/>
  <c r="J304"/>
  <c r="J298"/>
  <c r="J291"/>
  <c r="J248"/>
  <c r="J211"/>
  <c r="J184"/>
  <c r="J177"/>
  <c r="J172"/>
  <c r="J170"/>
  <c r="J164"/>
  <c r="J127"/>
  <c r="J95"/>
  <c r="J94"/>
  <c r="J76"/>
  <c r="J71"/>
  <c r="J67"/>
  <c r="I527"/>
  <c r="I465"/>
  <c r="I454"/>
  <c r="I430"/>
  <c r="I428"/>
  <c r="I413"/>
  <c r="I411"/>
  <c r="I409"/>
  <c r="I405"/>
  <c r="I366"/>
  <c r="I357"/>
  <c r="I355"/>
  <c r="I343"/>
  <c r="I338"/>
  <c r="I326"/>
  <c r="I304"/>
  <c r="I298"/>
  <c r="I291"/>
  <c r="I248"/>
  <c r="I211"/>
  <c r="I184"/>
  <c r="I177"/>
  <c r="I172"/>
  <c r="I170"/>
  <c r="I164"/>
  <c r="I127"/>
  <c r="I95"/>
  <c r="I94"/>
  <c r="I76"/>
  <c r="I71"/>
  <c r="I67"/>
  <c r="I35"/>
  <c r="G16"/>
  <c r="H16"/>
  <c r="G17"/>
  <c r="H17"/>
  <c r="G19"/>
  <c r="G18" s="1"/>
  <c r="H19"/>
  <c r="H18" s="1"/>
  <c r="G26"/>
  <c r="G25" s="1"/>
  <c r="I36"/>
  <c r="G37"/>
  <c r="G44"/>
  <c r="H44"/>
  <c r="G49"/>
  <c r="H49"/>
  <c r="H48" s="1"/>
  <c r="G56"/>
  <c r="I56" s="1"/>
  <c r="G60"/>
  <c r="H60"/>
  <c r="G62"/>
  <c r="H62"/>
  <c r="G65"/>
  <c r="H65"/>
  <c r="G66"/>
  <c r="H66"/>
  <c r="G69"/>
  <c r="H69"/>
  <c r="G70"/>
  <c r="H70"/>
  <c r="G74"/>
  <c r="G73" s="1"/>
  <c r="H74"/>
  <c r="G75"/>
  <c r="H75"/>
  <c r="G81"/>
  <c r="G83"/>
  <c r="I85"/>
  <c r="G86"/>
  <c r="H86"/>
  <c r="G88"/>
  <c r="H88"/>
  <c r="G89"/>
  <c r="H89"/>
  <c r="G91"/>
  <c r="H91"/>
  <c r="G92"/>
  <c r="H92"/>
  <c r="G93"/>
  <c r="H93"/>
  <c r="G97"/>
  <c r="H97"/>
  <c r="G99"/>
  <c r="H99"/>
  <c r="G100"/>
  <c r="H100"/>
  <c r="G102"/>
  <c r="H102"/>
  <c r="G103"/>
  <c r="H103"/>
  <c r="G105"/>
  <c r="I105" s="1"/>
  <c r="H105"/>
  <c r="I113"/>
  <c r="G119"/>
  <c r="G121"/>
  <c r="G122"/>
  <c r="H122"/>
  <c r="G126"/>
  <c r="H126"/>
  <c r="H133"/>
  <c r="G134"/>
  <c r="G133" s="1"/>
  <c r="G146"/>
  <c r="H146"/>
  <c r="G151"/>
  <c r="G150" s="1"/>
  <c r="H151"/>
  <c r="G157"/>
  <c r="H157"/>
  <c r="G158"/>
  <c r="H158"/>
  <c r="G160"/>
  <c r="H160"/>
  <c r="G162"/>
  <c r="G161" s="1"/>
  <c r="H162"/>
  <c r="G163"/>
  <c r="H163"/>
  <c r="G169"/>
  <c r="H169"/>
  <c r="G171"/>
  <c r="H171"/>
  <c r="G176"/>
  <c r="H176"/>
  <c r="G179"/>
  <c r="H179"/>
  <c r="G183"/>
  <c r="H183"/>
  <c r="G190"/>
  <c r="I190" s="1"/>
  <c r="H190"/>
  <c r="H196"/>
  <c r="G202"/>
  <c r="H202"/>
  <c r="G205"/>
  <c r="G210"/>
  <c r="H210"/>
  <c r="G212"/>
  <c r="G219"/>
  <c r="G218" s="1"/>
  <c r="H219"/>
  <c r="G221"/>
  <c r="H221"/>
  <c r="G222"/>
  <c r="G225"/>
  <c r="H228"/>
  <c r="G231"/>
  <c r="G230" s="1"/>
  <c r="H231"/>
  <c r="H233"/>
  <c r="G236"/>
  <c r="G235" s="1"/>
  <c r="G241"/>
  <c r="H241"/>
  <c r="G247"/>
  <c r="H247"/>
  <c r="G250"/>
  <c r="G257"/>
  <c r="G261"/>
  <c r="H261"/>
  <c r="G263"/>
  <c r="H263"/>
  <c r="G265"/>
  <c r="H265"/>
  <c r="G267"/>
  <c r="H267"/>
  <c r="H266" s="1"/>
  <c r="G272"/>
  <c r="H272"/>
  <c r="G274"/>
  <c r="G273" s="1"/>
  <c r="H274"/>
  <c r="H273" s="1"/>
  <c r="I279"/>
  <c r="G281"/>
  <c r="G283"/>
  <c r="G284"/>
  <c r="H284"/>
  <c r="G290"/>
  <c r="H290"/>
  <c r="G297"/>
  <c r="H297"/>
  <c r="G303"/>
  <c r="H303"/>
  <c r="H302" s="1"/>
  <c r="G311"/>
  <c r="G317"/>
  <c r="H317"/>
  <c r="G318"/>
  <c r="G319"/>
  <c r="G324"/>
  <c r="H324"/>
  <c r="G325"/>
  <c r="H325"/>
  <c r="G330"/>
  <c r="G329" s="1"/>
  <c r="H330"/>
  <c r="G332"/>
  <c r="G337"/>
  <c r="H337"/>
  <c r="G340"/>
  <c r="G339" s="1"/>
  <c r="H340"/>
  <c r="G342"/>
  <c r="H342"/>
  <c r="G347"/>
  <c r="H347"/>
  <c r="G348"/>
  <c r="H348"/>
  <c r="G354"/>
  <c r="H354"/>
  <c r="G356"/>
  <c r="H356"/>
  <c r="G359"/>
  <c r="G358" s="1"/>
  <c r="H359"/>
  <c r="G361"/>
  <c r="H361"/>
  <c r="G363"/>
  <c r="H363"/>
  <c r="G365"/>
  <c r="H365"/>
  <c r="G373"/>
  <c r="H373"/>
  <c r="G380"/>
  <c r="G379" s="1"/>
  <c r="H380"/>
  <c r="G388"/>
  <c r="H388"/>
  <c r="G389"/>
  <c r="G390"/>
  <c r="H390"/>
  <c r="G391"/>
  <c r="G393"/>
  <c r="G392" s="1"/>
  <c r="H393"/>
  <c r="G397"/>
  <c r="H397"/>
  <c r="G398"/>
  <c r="G399"/>
  <c r="H399"/>
  <c r="G401"/>
  <c r="G400" s="1"/>
  <c r="H401"/>
  <c r="G404"/>
  <c r="H404"/>
  <c r="G407"/>
  <c r="H407"/>
  <c r="G408"/>
  <c r="H408"/>
  <c r="G410"/>
  <c r="H410"/>
  <c r="G412"/>
  <c r="H412"/>
  <c r="G415"/>
  <c r="H415"/>
  <c r="G418"/>
  <c r="H418"/>
  <c r="G420"/>
  <c r="H420"/>
  <c r="G426"/>
  <c r="H426"/>
  <c r="G427"/>
  <c r="G429"/>
  <c r="H429"/>
  <c r="G435"/>
  <c r="H435"/>
  <c r="H434" s="1"/>
  <c r="G437"/>
  <c r="H437"/>
  <c r="G439"/>
  <c r="H439"/>
  <c r="H438" s="1"/>
  <c r="G447"/>
  <c r="H447"/>
  <c r="H446" s="1"/>
  <c r="G449"/>
  <c r="G451"/>
  <c r="I451" s="1"/>
  <c r="H451"/>
  <c r="G453"/>
  <c r="H453"/>
  <c r="G456"/>
  <c r="G457"/>
  <c r="H457"/>
  <c r="G459"/>
  <c r="H459"/>
  <c r="G464"/>
  <c r="H464"/>
  <c r="G467"/>
  <c r="H467"/>
  <c r="G469"/>
  <c r="G468" s="1"/>
  <c r="H469"/>
  <c r="G471"/>
  <c r="G473"/>
  <c r="H473"/>
  <c r="G476"/>
  <c r="G475" s="1"/>
  <c r="H476"/>
  <c r="G478"/>
  <c r="G477" s="1"/>
  <c r="H478"/>
  <c r="G480"/>
  <c r="H480"/>
  <c r="H479" s="1"/>
  <c r="G483"/>
  <c r="H483"/>
  <c r="G485"/>
  <c r="G484" s="1"/>
  <c r="H485"/>
  <c r="G487"/>
  <c r="H487"/>
  <c r="G489"/>
  <c r="H489"/>
  <c r="H488" s="1"/>
  <c r="G491"/>
  <c r="H491"/>
  <c r="G493"/>
  <c r="H493"/>
  <c r="H492" s="1"/>
  <c r="G496"/>
  <c r="H496"/>
  <c r="H495" s="1"/>
  <c r="G498"/>
  <c r="G497" s="1"/>
  <c r="H498"/>
  <c r="G502"/>
  <c r="H502"/>
  <c r="G508"/>
  <c r="H508"/>
  <c r="G514"/>
  <c r="H514"/>
  <c r="G515"/>
  <c r="H515"/>
  <c r="G517"/>
  <c r="H517"/>
  <c r="G523"/>
  <c r="G524"/>
  <c r="H524"/>
  <c r="G525"/>
  <c r="H525"/>
  <c r="G526"/>
  <c r="H526"/>
  <c r="G528"/>
  <c r="H528"/>
  <c r="G536"/>
  <c r="G540"/>
  <c r="H540"/>
  <c r="G553"/>
  <c r="H553"/>
  <c r="G555"/>
  <c r="I555" s="1"/>
  <c r="H555"/>
  <c r="G556"/>
  <c r="G564"/>
  <c r="G565"/>
  <c r="G566"/>
  <c r="I566" s="1"/>
  <c r="G568"/>
  <c r="G570"/>
  <c r="H569"/>
  <c r="G577"/>
  <c r="I489" l="1"/>
  <c r="G15"/>
  <c r="G14" s="1"/>
  <c r="G386"/>
  <c r="I103"/>
  <c r="I100"/>
  <c r="I97"/>
  <c r="I92"/>
  <c r="I290"/>
  <c r="I247"/>
  <c r="I210"/>
  <c r="I176"/>
  <c r="I171"/>
  <c r="I70"/>
  <c r="I66"/>
  <c r="G387"/>
  <c r="G385" s="1"/>
  <c r="F138"/>
  <c r="J138" s="1"/>
  <c r="I122"/>
  <c r="G96"/>
  <c r="I19"/>
  <c r="G138"/>
  <c r="I138" s="1"/>
  <c r="I340"/>
  <c r="I219"/>
  <c r="I141"/>
  <c r="I429"/>
  <c r="I163"/>
  <c r="I74"/>
  <c r="I325"/>
  <c r="I18"/>
  <c r="I354"/>
  <c r="I69"/>
  <c r="H576"/>
  <c r="L577"/>
  <c r="H539"/>
  <c r="L540"/>
  <c r="L526"/>
  <c r="L517"/>
  <c r="G507"/>
  <c r="I508"/>
  <c r="L469"/>
  <c r="L412"/>
  <c r="L404"/>
  <c r="H396"/>
  <c r="L397"/>
  <c r="L391"/>
  <c r="G364"/>
  <c r="I365"/>
  <c r="L356"/>
  <c r="H341"/>
  <c r="L342"/>
  <c r="G331"/>
  <c r="I332"/>
  <c r="L324"/>
  <c r="H323"/>
  <c r="H310"/>
  <c r="H309" s="1"/>
  <c r="L311"/>
  <c r="H301"/>
  <c r="L281"/>
  <c r="L273"/>
  <c r="I273"/>
  <c r="L263"/>
  <c r="H262"/>
  <c r="I256"/>
  <c r="G255"/>
  <c r="G254" s="1"/>
  <c r="H232"/>
  <c r="L233"/>
  <c r="G224"/>
  <c r="I225"/>
  <c r="L199"/>
  <c r="L160"/>
  <c r="H159"/>
  <c r="G149"/>
  <c r="H101"/>
  <c r="L102"/>
  <c r="L89"/>
  <c r="L86"/>
  <c r="G72"/>
  <c r="G64"/>
  <c r="I65"/>
  <c r="L39"/>
  <c r="H33"/>
  <c r="L34"/>
  <c r="G576"/>
  <c r="I577"/>
  <c r="L565"/>
  <c r="I547"/>
  <c r="I526"/>
  <c r="G516"/>
  <c r="I517"/>
  <c r="H501"/>
  <c r="L502"/>
  <c r="H482"/>
  <c r="L483"/>
  <c r="L476"/>
  <c r="I469"/>
  <c r="G446"/>
  <c r="L446" s="1"/>
  <c r="I447"/>
  <c r="G434"/>
  <c r="I434" s="1"/>
  <c r="I435"/>
  <c r="H419"/>
  <c r="L420"/>
  <c r="I412"/>
  <c r="I404"/>
  <c r="I397"/>
  <c r="I389"/>
  <c r="H371"/>
  <c r="L373"/>
  <c r="H362"/>
  <c r="L363"/>
  <c r="I356"/>
  <c r="G341"/>
  <c r="I342"/>
  <c r="L330"/>
  <c r="I330"/>
  <c r="L284"/>
  <c r="I284"/>
  <c r="G278"/>
  <c r="G262"/>
  <c r="I263"/>
  <c r="G240"/>
  <c r="I241"/>
  <c r="H227"/>
  <c r="L228"/>
  <c r="H222"/>
  <c r="I222" s="1"/>
  <c r="L223"/>
  <c r="G220"/>
  <c r="I221"/>
  <c r="H212"/>
  <c r="H209" s="1"/>
  <c r="L213"/>
  <c r="I213"/>
  <c r="H205"/>
  <c r="I205" s="1"/>
  <c r="L206"/>
  <c r="I202"/>
  <c r="G201"/>
  <c r="H182"/>
  <c r="L183"/>
  <c r="I179"/>
  <c r="L175"/>
  <c r="H174"/>
  <c r="L162"/>
  <c r="I162"/>
  <c r="G159"/>
  <c r="I160"/>
  <c r="L146"/>
  <c r="H132"/>
  <c r="L133"/>
  <c r="H118"/>
  <c r="L119"/>
  <c r="L112"/>
  <c r="H111"/>
  <c r="G104"/>
  <c r="I102"/>
  <c r="I99"/>
  <c r="L93"/>
  <c r="H90"/>
  <c r="L91"/>
  <c r="I91"/>
  <c r="I89"/>
  <c r="I86"/>
  <c r="I83"/>
  <c r="G82"/>
  <c r="L580"/>
  <c r="L578"/>
  <c r="L570"/>
  <c r="G567"/>
  <c r="I568"/>
  <c r="I565"/>
  <c r="I556"/>
  <c r="H552"/>
  <c r="L553"/>
  <c r="L546"/>
  <c r="L528"/>
  <c r="L525"/>
  <c r="H522"/>
  <c r="H521" s="1"/>
  <c r="L523"/>
  <c r="H516"/>
  <c r="I514"/>
  <c r="I502"/>
  <c r="L493"/>
  <c r="G490"/>
  <c r="I491"/>
  <c r="G488"/>
  <c r="I488" s="1"/>
  <c r="I485"/>
  <c r="G482"/>
  <c r="I483"/>
  <c r="H477"/>
  <c r="I477" s="1"/>
  <c r="L478"/>
  <c r="H470"/>
  <c r="L471"/>
  <c r="H468"/>
  <c r="I468" s="1"/>
  <c r="L464"/>
  <c r="H456"/>
  <c r="I456" s="1"/>
  <c r="L457"/>
  <c r="G452"/>
  <c r="I453"/>
  <c r="H448"/>
  <c r="L449"/>
  <c r="H436"/>
  <c r="L437"/>
  <c r="I427"/>
  <c r="I420"/>
  <c r="L415"/>
  <c r="H414"/>
  <c r="L410"/>
  <c r="H406"/>
  <c r="L407"/>
  <c r="H400"/>
  <c r="L401"/>
  <c r="L398"/>
  <c r="H392"/>
  <c r="I392" s="1"/>
  <c r="L393"/>
  <c r="L390"/>
  <c r="I390"/>
  <c r="L388"/>
  <c r="H379"/>
  <c r="I379" s="1"/>
  <c r="L380"/>
  <c r="I380"/>
  <c r="G372"/>
  <c r="I373"/>
  <c r="I363"/>
  <c r="G362"/>
  <c r="I337"/>
  <c r="L319"/>
  <c r="H198"/>
  <c r="L200"/>
  <c r="G61"/>
  <c r="I62"/>
  <c r="L579"/>
  <c r="G563"/>
  <c r="I564"/>
  <c r="H545"/>
  <c r="L547"/>
  <c r="G535"/>
  <c r="I536"/>
  <c r="L524"/>
  <c r="G513"/>
  <c r="I515"/>
  <c r="L498"/>
  <c r="G495"/>
  <c r="I495" s="1"/>
  <c r="I496"/>
  <c r="G486"/>
  <c r="I487"/>
  <c r="G479"/>
  <c r="I479" s="1"/>
  <c r="I480"/>
  <c r="L473"/>
  <c r="H472"/>
  <c r="H466"/>
  <c r="L467"/>
  <c r="H458"/>
  <c r="L459"/>
  <c r="L408"/>
  <c r="L399"/>
  <c r="L389"/>
  <c r="G378"/>
  <c r="G360"/>
  <c r="I361"/>
  <c r="L348"/>
  <c r="G336"/>
  <c r="L318"/>
  <c r="I318"/>
  <c r="G266"/>
  <c r="I266" s="1"/>
  <c r="I267"/>
  <c r="H257"/>
  <c r="I257" s="1"/>
  <c r="L258"/>
  <c r="H240"/>
  <c r="L241"/>
  <c r="H220"/>
  <c r="L221"/>
  <c r="H201"/>
  <c r="L202"/>
  <c r="H178"/>
  <c r="L179"/>
  <c r="H156"/>
  <c r="L157"/>
  <c r="I157"/>
  <c r="L122"/>
  <c r="H120"/>
  <c r="H98"/>
  <c r="L99"/>
  <c r="H82"/>
  <c r="L83"/>
  <c r="L75"/>
  <c r="I75"/>
  <c r="G59"/>
  <c r="I60"/>
  <c r="L36"/>
  <c r="I579"/>
  <c r="H567"/>
  <c r="L568"/>
  <c r="L556"/>
  <c r="G554"/>
  <c r="G539"/>
  <c r="I540"/>
  <c r="I524"/>
  <c r="L514"/>
  <c r="I498"/>
  <c r="H490"/>
  <c r="L491"/>
  <c r="L485"/>
  <c r="G472"/>
  <c r="I473"/>
  <c r="G450"/>
  <c r="L427"/>
  <c r="G417"/>
  <c r="I418"/>
  <c r="I408"/>
  <c r="I399"/>
  <c r="I391"/>
  <c r="H358"/>
  <c r="L359"/>
  <c r="I348"/>
  <c r="L337"/>
  <c r="G323"/>
  <c r="I324"/>
  <c r="G289"/>
  <c r="G280"/>
  <c r="I281"/>
  <c r="H271"/>
  <c r="H270" s="1"/>
  <c r="L272"/>
  <c r="I258"/>
  <c r="L250"/>
  <c r="G232"/>
  <c r="G229" s="1"/>
  <c r="I233"/>
  <c r="L169"/>
  <c r="L317"/>
  <c r="L303"/>
  <c r="G296"/>
  <c r="I297"/>
  <c r="H282"/>
  <c r="L283"/>
  <c r="H280"/>
  <c r="L274"/>
  <c r="I272"/>
  <c r="G271"/>
  <c r="H260"/>
  <c r="L261"/>
  <c r="G249"/>
  <c r="I250"/>
  <c r="H242"/>
  <c r="L243"/>
  <c r="H235"/>
  <c r="I235" s="1"/>
  <c r="L236"/>
  <c r="I236"/>
  <c r="H230"/>
  <c r="L231"/>
  <c r="G227"/>
  <c r="I228"/>
  <c r="I206"/>
  <c r="L197"/>
  <c r="I183"/>
  <c r="G178"/>
  <c r="G174"/>
  <c r="I175"/>
  <c r="L158"/>
  <c r="H150"/>
  <c r="I150" s="1"/>
  <c r="L151"/>
  <c r="G145"/>
  <c r="I146"/>
  <c r="G140"/>
  <c r="H125"/>
  <c r="L126"/>
  <c r="L121"/>
  <c r="G118"/>
  <c r="I119"/>
  <c r="G111"/>
  <c r="I112"/>
  <c r="H80"/>
  <c r="L81"/>
  <c r="H73"/>
  <c r="I73" s="1"/>
  <c r="L74"/>
  <c r="H43"/>
  <c r="L44"/>
  <c r="H37"/>
  <c r="L38"/>
  <c r="I38"/>
  <c r="L35"/>
  <c r="L28"/>
  <c r="I28"/>
  <c r="H26"/>
  <c r="L17"/>
  <c r="I580"/>
  <c r="I578"/>
  <c r="G569"/>
  <c r="I569" s="1"/>
  <c r="I570"/>
  <c r="L566"/>
  <c r="H563"/>
  <c r="L564"/>
  <c r="H554"/>
  <c r="L555"/>
  <c r="G552"/>
  <c r="I553"/>
  <c r="G545"/>
  <c r="I546"/>
  <c r="H535"/>
  <c r="L536"/>
  <c r="I528"/>
  <c r="I525"/>
  <c r="I523"/>
  <c r="L515"/>
  <c r="H507"/>
  <c r="L508"/>
  <c r="G501"/>
  <c r="L496"/>
  <c r="G492"/>
  <c r="I492" s="1"/>
  <c r="I493"/>
  <c r="L489"/>
  <c r="H486"/>
  <c r="L487"/>
  <c r="H484"/>
  <c r="L480"/>
  <c r="I478"/>
  <c r="H475"/>
  <c r="G470"/>
  <c r="I471"/>
  <c r="I464"/>
  <c r="I457"/>
  <c r="L451"/>
  <c r="H450"/>
  <c r="G448"/>
  <c r="I449"/>
  <c r="L439"/>
  <c r="G436"/>
  <c r="I437"/>
  <c r="L429"/>
  <c r="H425"/>
  <c r="H423" s="1"/>
  <c r="L426"/>
  <c r="G419"/>
  <c r="G414"/>
  <c r="I415"/>
  <c r="I410"/>
  <c r="I398"/>
  <c r="I388"/>
  <c r="H360"/>
  <c r="L361"/>
  <c r="G346"/>
  <c r="I347"/>
  <c r="H331"/>
  <c r="L332"/>
  <c r="H329"/>
  <c r="G316"/>
  <c r="I319"/>
  <c r="I317"/>
  <c r="G302"/>
  <c r="I303"/>
  <c r="L290"/>
  <c r="H289"/>
  <c r="L285"/>
  <c r="I283"/>
  <c r="G282"/>
  <c r="L267"/>
  <c r="G264"/>
  <c r="I265"/>
  <c r="G260"/>
  <c r="I261"/>
  <c r="H255"/>
  <c r="L256"/>
  <c r="H249"/>
  <c r="I243"/>
  <c r="G242"/>
  <c r="H224"/>
  <c r="L225"/>
  <c r="L210"/>
  <c r="I200"/>
  <c r="G196"/>
  <c r="I197"/>
  <c r="G189"/>
  <c r="G182"/>
  <c r="H168"/>
  <c r="L171"/>
  <c r="L163"/>
  <c r="H161"/>
  <c r="G156"/>
  <c r="I158"/>
  <c r="I151"/>
  <c r="H145"/>
  <c r="L134"/>
  <c r="I134"/>
  <c r="I126"/>
  <c r="G125"/>
  <c r="H104"/>
  <c r="L105"/>
  <c r="L92"/>
  <c r="G90"/>
  <c r="G87"/>
  <c r="I88"/>
  <c r="G80"/>
  <c r="I81"/>
  <c r="L69"/>
  <c r="H64"/>
  <c r="L65"/>
  <c r="H59"/>
  <c r="L60"/>
  <c r="G55"/>
  <c r="G43"/>
  <c r="I44"/>
  <c r="I17"/>
  <c r="G466"/>
  <c r="I467"/>
  <c r="G458"/>
  <c r="I459"/>
  <c r="H452"/>
  <c r="L453"/>
  <c r="L447"/>
  <c r="G438"/>
  <c r="I438" s="1"/>
  <c r="I439"/>
  <c r="L435"/>
  <c r="G425"/>
  <c r="G423" s="1"/>
  <c r="H417"/>
  <c r="L418"/>
  <c r="G406"/>
  <c r="I407"/>
  <c r="H364"/>
  <c r="L365"/>
  <c r="I359"/>
  <c r="L354"/>
  <c r="H346"/>
  <c r="L347"/>
  <c r="H339"/>
  <c r="I339" s="1"/>
  <c r="L340"/>
  <c r="L325"/>
  <c r="G310"/>
  <c r="I311"/>
  <c r="H296"/>
  <c r="L297"/>
  <c r="H278"/>
  <c r="L279"/>
  <c r="H264"/>
  <c r="L265"/>
  <c r="L247"/>
  <c r="G234"/>
  <c r="I231"/>
  <c r="I223"/>
  <c r="H218"/>
  <c r="L219"/>
  <c r="G209"/>
  <c r="G198"/>
  <c r="I199"/>
  <c r="H189"/>
  <c r="L190"/>
  <c r="L176"/>
  <c r="G168"/>
  <c r="H140"/>
  <c r="H137" s="1"/>
  <c r="L141"/>
  <c r="G132"/>
  <c r="I133"/>
  <c r="G120"/>
  <c r="I121"/>
  <c r="L113"/>
  <c r="L103"/>
  <c r="L100"/>
  <c r="H96"/>
  <c r="L97"/>
  <c r="I93"/>
  <c r="L88"/>
  <c r="H84"/>
  <c r="L85"/>
  <c r="L70"/>
  <c r="L66"/>
  <c r="H55"/>
  <c r="L56"/>
  <c r="G48"/>
  <c r="L48" s="1"/>
  <c r="I49"/>
  <c r="G33"/>
  <c r="I33" s="1"/>
  <c r="G24"/>
  <c r="L18"/>
  <c r="I34"/>
  <c r="I39"/>
  <c r="I50"/>
  <c r="I169"/>
  <c r="I274"/>
  <c r="I285"/>
  <c r="I393"/>
  <c r="I401"/>
  <c r="I426"/>
  <c r="I476"/>
  <c r="L27"/>
  <c r="H15"/>
  <c r="L16"/>
  <c r="I16"/>
  <c r="I27"/>
  <c r="H61"/>
  <c r="L62"/>
  <c r="H47"/>
  <c r="L19"/>
  <c r="L50"/>
  <c r="L49"/>
  <c r="G522"/>
  <c r="H513"/>
  <c r="H494"/>
  <c r="H497"/>
  <c r="H387"/>
  <c r="H386"/>
  <c r="I386" s="1"/>
  <c r="H372"/>
  <c r="G371"/>
  <c r="G396"/>
  <c r="H316"/>
  <c r="G204"/>
  <c r="G203"/>
  <c r="G101"/>
  <c r="G98"/>
  <c r="H87"/>
  <c r="G84"/>
  <c r="G13"/>
  <c r="J35"/>
  <c r="J34"/>
  <c r="J50"/>
  <c r="I98" l="1"/>
  <c r="G137"/>
  <c r="H308"/>
  <c r="H395"/>
  <c r="G474"/>
  <c r="H204"/>
  <c r="L204" s="1"/>
  <c r="I414"/>
  <c r="G494"/>
  <c r="I494" s="1"/>
  <c r="I522"/>
  <c r="I396"/>
  <c r="H520"/>
  <c r="H518" s="1"/>
  <c r="H394"/>
  <c r="G58"/>
  <c r="G57" s="1"/>
  <c r="I282"/>
  <c r="H403"/>
  <c r="H277"/>
  <c r="H276" s="1"/>
  <c r="I260"/>
  <c r="G353"/>
  <c r="G352" s="1"/>
  <c r="I101"/>
  <c r="G424"/>
  <c r="I198"/>
  <c r="I470"/>
  <c r="H173"/>
  <c r="H167" s="1"/>
  <c r="G335"/>
  <c r="G334" s="1"/>
  <c r="G217"/>
  <c r="I448"/>
  <c r="H195"/>
  <c r="I362"/>
  <c r="L138"/>
  <c r="I554"/>
  <c r="I242"/>
  <c r="G259"/>
  <c r="G253" s="1"/>
  <c r="L434"/>
  <c r="I120"/>
  <c r="I80"/>
  <c r="H32"/>
  <c r="H31" s="1"/>
  <c r="H424"/>
  <c r="I37"/>
  <c r="I156"/>
  <c r="I419"/>
  <c r="I220"/>
  <c r="I341"/>
  <c r="L495"/>
  <c r="I516"/>
  <c r="I90"/>
  <c r="I436"/>
  <c r="L266"/>
  <c r="G239"/>
  <c r="G238" s="1"/>
  <c r="H203"/>
  <c r="H217"/>
  <c r="I482"/>
  <c r="I240"/>
  <c r="H422"/>
  <c r="L423"/>
  <c r="H315"/>
  <c r="L316"/>
  <c r="H370"/>
  <c r="L372"/>
  <c r="L168"/>
  <c r="G315"/>
  <c r="I316"/>
  <c r="L486"/>
  <c r="G544"/>
  <c r="I545"/>
  <c r="H124"/>
  <c r="L125"/>
  <c r="L358"/>
  <c r="L392"/>
  <c r="L436"/>
  <c r="G575"/>
  <c r="I576"/>
  <c r="L159"/>
  <c r="L262"/>
  <c r="H353"/>
  <c r="L140"/>
  <c r="H416"/>
  <c r="L417"/>
  <c r="G455"/>
  <c r="I458"/>
  <c r="H63"/>
  <c r="L64"/>
  <c r="L104"/>
  <c r="G181"/>
  <c r="I182"/>
  <c r="L289"/>
  <c r="H288"/>
  <c r="G301"/>
  <c r="L301" s="1"/>
  <c r="I302"/>
  <c r="L329"/>
  <c r="L450"/>
  <c r="H474"/>
  <c r="L475"/>
  <c r="L484"/>
  <c r="L554"/>
  <c r="H25"/>
  <c r="L26"/>
  <c r="I26"/>
  <c r="H42"/>
  <c r="L43"/>
  <c r="G110"/>
  <c r="I111"/>
  <c r="I140"/>
  <c r="I227"/>
  <c r="G226"/>
  <c r="G246"/>
  <c r="I249"/>
  <c r="L260"/>
  <c r="L282"/>
  <c r="L271"/>
  <c r="G463"/>
  <c r="I472"/>
  <c r="L567"/>
  <c r="L178"/>
  <c r="L257"/>
  <c r="I360"/>
  <c r="H455"/>
  <c r="L458"/>
  <c r="L472"/>
  <c r="L492"/>
  <c r="L198"/>
  <c r="L400"/>
  <c r="I400"/>
  <c r="H445"/>
  <c r="L448"/>
  <c r="L468"/>
  <c r="I475"/>
  <c r="L90"/>
  <c r="H181"/>
  <c r="L182"/>
  <c r="I278"/>
  <c r="L362"/>
  <c r="L482"/>
  <c r="L101"/>
  <c r="L232"/>
  <c r="L302"/>
  <c r="L310"/>
  <c r="L341"/>
  <c r="L396"/>
  <c r="I484"/>
  <c r="H575"/>
  <c r="L576"/>
  <c r="H208"/>
  <c r="L209"/>
  <c r="H295"/>
  <c r="L296"/>
  <c r="G195"/>
  <c r="I196"/>
  <c r="L224"/>
  <c r="L425"/>
  <c r="H229"/>
  <c r="L230"/>
  <c r="L490"/>
  <c r="L120"/>
  <c r="G562"/>
  <c r="I563"/>
  <c r="G370"/>
  <c r="I372"/>
  <c r="L477"/>
  <c r="G12"/>
  <c r="G32"/>
  <c r="L386"/>
  <c r="H307"/>
  <c r="H481"/>
  <c r="L96"/>
  <c r="H259"/>
  <c r="H385"/>
  <c r="I385" s="1"/>
  <c r="L387"/>
  <c r="L494"/>
  <c r="H14"/>
  <c r="L15"/>
  <c r="I15"/>
  <c r="G131"/>
  <c r="I132"/>
  <c r="G208"/>
  <c r="I209"/>
  <c r="L264"/>
  <c r="G403"/>
  <c r="I406"/>
  <c r="H58"/>
  <c r="L59"/>
  <c r="G188"/>
  <c r="I189"/>
  <c r="H254"/>
  <c r="I254" s="1"/>
  <c r="L255"/>
  <c r="L360"/>
  <c r="H506"/>
  <c r="L507"/>
  <c r="H534"/>
  <c r="L535"/>
  <c r="G173"/>
  <c r="I174"/>
  <c r="I271"/>
  <c r="L280"/>
  <c r="G322"/>
  <c r="I323"/>
  <c r="G416"/>
  <c r="I417"/>
  <c r="L438"/>
  <c r="I59"/>
  <c r="L156"/>
  <c r="L201"/>
  <c r="L220"/>
  <c r="H239"/>
  <c r="L240"/>
  <c r="H544"/>
  <c r="L545"/>
  <c r="L569"/>
  <c r="I61"/>
  <c r="L456"/>
  <c r="G481"/>
  <c r="I490"/>
  <c r="L522"/>
  <c r="I82"/>
  <c r="I104"/>
  <c r="I201"/>
  <c r="L205"/>
  <c r="L212"/>
  <c r="I212"/>
  <c r="H226"/>
  <c r="L227"/>
  <c r="I262"/>
  <c r="I96"/>
  <c r="I224"/>
  <c r="I255"/>
  <c r="H300"/>
  <c r="H322"/>
  <c r="L323"/>
  <c r="I331"/>
  <c r="I364"/>
  <c r="H538"/>
  <c r="L539"/>
  <c r="G328"/>
  <c r="G79"/>
  <c r="G78" s="1"/>
  <c r="I84"/>
  <c r="H269"/>
  <c r="L84"/>
  <c r="L364"/>
  <c r="H328"/>
  <c r="L331"/>
  <c r="L563"/>
  <c r="H72"/>
  <c r="I72" s="1"/>
  <c r="L73"/>
  <c r="H234"/>
  <c r="I234" s="1"/>
  <c r="L235"/>
  <c r="G288"/>
  <c r="I289"/>
  <c r="L82"/>
  <c r="H463"/>
  <c r="L466"/>
  <c r="H378"/>
  <c r="L379"/>
  <c r="L406"/>
  <c r="L470"/>
  <c r="L118"/>
  <c r="L371"/>
  <c r="H500"/>
  <c r="L501"/>
  <c r="H79"/>
  <c r="H78" s="1"/>
  <c r="L87"/>
  <c r="G422"/>
  <c r="I423"/>
  <c r="H562"/>
  <c r="L61"/>
  <c r="L218"/>
  <c r="L278"/>
  <c r="H155"/>
  <c r="H512"/>
  <c r="L513"/>
  <c r="H54"/>
  <c r="L55"/>
  <c r="I168"/>
  <c r="G309"/>
  <c r="I309" s="1"/>
  <c r="I310"/>
  <c r="H345"/>
  <c r="L346"/>
  <c r="I425"/>
  <c r="G42"/>
  <c r="I43"/>
  <c r="G124"/>
  <c r="I125"/>
  <c r="I264"/>
  <c r="G345"/>
  <c r="I346"/>
  <c r="G551"/>
  <c r="I552"/>
  <c r="L37"/>
  <c r="H149"/>
  <c r="I149" s="1"/>
  <c r="L150"/>
  <c r="G117"/>
  <c r="H117"/>
  <c r="G155"/>
  <c r="G270"/>
  <c r="L270" s="1"/>
  <c r="G308"/>
  <c r="H433"/>
  <c r="I371"/>
  <c r="L497"/>
  <c r="G433"/>
  <c r="H46"/>
  <c r="G23"/>
  <c r="G47"/>
  <c r="I48"/>
  <c r="L189"/>
  <c r="H188"/>
  <c r="H336"/>
  <c r="I336" s="1"/>
  <c r="L339"/>
  <c r="L452"/>
  <c r="I466"/>
  <c r="G54"/>
  <c r="I55"/>
  <c r="I87"/>
  <c r="H144"/>
  <c r="L145"/>
  <c r="L161"/>
  <c r="I161"/>
  <c r="H246"/>
  <c r="L249"/>
  <c r="I358"/>
  <c r="G500"/>
  <c r="I501"/>
  <c r="L80"/>
  <c r="I118"/>
  <c r="G144"/>
  <c r="I145"/>
  <c r="I178"/>
  <c r="L242"/>
  <c r="G295"/>
  <c r="I296"/>
  <c r="I232"/>
  <c r="G277"/>
  <c r="I280"/>
  <c r="I450"/>
  <c r="L479"/>
  <c r="I539"/>
  <c r="G538"/>
  <c r="L98"/>
  <c r="L196"/>
  <c r="I218"/>
  <c r="I230"/>
  <c r="I329"/>
  <c r="G377"/>
  <c r="I486"/>
  <c r="G512"/>
  <c r="I513"/>
  <c r="I535"/>
  <c r="G534"/>
  <c r="L414"/>
  <c r="I452"/>
  <c r="L516"/>
  <c r="H551"/>
  <c r="L552"/>
  <c r="I567"/>
  <c r="H110"/>
  <c r="L111"/>
  <c r="H131"/>
  <c r="L132"/>
  <c r="I159"/>
  <c r="L174"/>
  <c r="L222"/>
  <c r="L419"/>
  <c r="G445"/>
  <c r="I446"/>
  <c r="L488"/>
  <c r="L33"/>
  <c r="G63"/>
  <c r="I64"/>
  <c r="G148"/>
  <c r="I387"/>
  <c r="G506"/>
  <c r="I507"/>
  <c r="I497"/>
  <c r="G394"/>
  <c r="G395"/>
  <c r="I395" s="1"/>
  <c r="G520"/>
  <c r="G521"/>
  <c r="I521" s="1"/>
  <c r="J113"/>
  <c r="J112"/>
  <c r="I239" l="1"/>
  <c r="I259"/>
  <c r="I58"/>
  <c r="L424"/>
  <c r="I204"/>
  <c r="I474"/>
  <c r="I520"/>
  <c r="H519"/>
  <c r="G462"/>
  <c r="G216"/>
  <c r="H402"/>
  <c r="H194"/>
  <c r="H193" s="1"/>
  <c r="G68"/>
  <c r="I217"/>
  <c r="I353"/>
  <c r="I195"/>
  <c r="L395"/>
  <c r="L217"/>
  <c r="I424"/>
  <c r="G194"/>
  <c r="L203"/>
  <c r="H68"/>
  <c r="L520"/>
  <c r="I63"/>
  <c r="I203"/>
  <c r="I416"/>
  <c r="H384"/>
  <c r="I394"/>
  <c r="H109"/>
  <c r="L110"/>
  <c r="G376"/>
  <c r="G276"/>
  <c r="L276" s="1"/>
  <c r="I277"/>
  <c r="G344"/>
  <c r="G333" s="1"/>
  <c r="I345"/>
  <c r="H377"/>
  <c r="L378"/>
  <c r="L521"/>
  <c r="G327"/>
  <c r="I328"/>
  <c r="H321"/>
  <c r="L322"/>
  <c r="H505"/>
  <c r="L506"/>
  <c r="I403"/>
  <c r="G402"/>
  <c r="H130"/>
  <c r="L131"/>
  <c r="G511"/>
  <c r="I512"/>
  <c r="G499"/>
  <c r="I500"/>
  <c r="H187"/>
  <c r="L188"/>
  <c r="G432"/>
  <c r="I433"/>
  <c r="G116"/>
  <c r="I117"/>
  <c r="G41"/>
  <c r="I42"/>
  <c r="G351"/>
  <c r="H561"/>
  <c r="L562"/>
  <c r="H499"/>
  <c r="L500"/>
  <c r="G237"/>
  <c r="H543"/>
  <c r="L544"/>
  <c r="G321"/>
  <c r="I322"/>
  <c r="L534"/>
  <c r="H532"/>
  <c r="H533"/>
  <c r="H207"/>
  <c r="L208"/>
  <c r="H180"/>
  <c r="L181"/>
  <c r="I181"/>
  <c r="G180"/>
  <c r="H123"/>
  <c r="L124"/>
  <c r="H314"/>
  <c r="L315"/>
  <c r="L403"/>
  <c r="H77"/>
  <c r="L78"/>
  <c r="G533"/>
  <c r="I534"/>
  <c r="G532"/>
  <c r="G53"/>
  <c r="I54"/>
  <c r="H45"/>
  <c r="G307"/>
  <c r="L307" s="1"/>
  <c r="I308"/>
  <c r="G154"/>
  <c r="I155"/>
  <c r="H148"/>
  <c r="I148" s="1"/>
  <c r="L149"/>
  <c r="G550"/>
  <c r="I551"/>
  <c r="H511"/>
  <c r="L512"/>
  <c r="H275"/>
  <c r="L79"/>
  <c r="L234"/>
  <c r="H327"/>
  <c r="L328"/>
  <c r="L226"/>
  <c r="I481"/>
  <c r="G167"/>
  <c r="L167" s="1"/>
  <c r="I173"/>
  <c r="H57"/>
  <c r="I57" s="1"/>
  <c r="L58"/>
  <c r="G130"/>
  <c r="I131"/>
  <c r="H13"/>
  <c r="L14"/>
  <c r="I14"/>
  <c r="L385"/>
  <c r="L308"/>
  <c r="G31"/>
  <c r="L31" s="1"/>
  <c r="I32"/>
  <c r="G561"/>
  <c r="I562"/>
  <c r="H294"/>
  <c r="L295"/>
  <c r="I463"/>
  <c r="G245"/>
  <c r="I246"/>
  <c r="G136"/>
  <c r="I137"/>
  <c r="L474"/>
  <c r="L63"/>
  <c r="L353"/>
  <c r="H352"/>
  <c r="I352" s="1"/>
  <c r="H369"/>
  <c r="L370"/>
  <c r="L32"/>
  <c r="H550"/>
  <c r="L551"/>
  <c r="G143"/>
  <c r="I144"/>
  <c r="L336"/>
  <c r="H335"/>
  <c r="H116"/>
  <c r="L117"/>
  <c r="H154"/>
  <c r="L155"/>
  <c r="L394"/>
  <c r="H238"/>
  <c r="L239"/>
  <c r="G207"/>
  <c r="I208"/>
  <c r="G215"/>
  <c r="G505"/>
  <c r="I506"/>
  <c r="H245"/>
  <c r="L246"/>
  <c r="G46"/>
  <c r="L46" s="1"/>
  <c r="I47"/>
  <c r="L47"/>
  <c r="H432"/>
  <c r="L433"/>
  <c r="H344"/>
  <c r="L345"/>
  <c r="L277"/>
  <c r="L72"/>
  <c r="L254"/>
  <c r="H253"/>
  <c r="I253" s="1"/>
  <c r="L229"/>
  <c r="H444"/>
  <c r="L445"/>
  <c r="H287"/>
  <c r="L288"/>
  <c r="L422"/>
  <c r="G77"/>
  <c r="I78"/>
  <c r="G147"/>
  <c r="I445"/>
  <c r="G444"/>
  <c r="I378"/>
  <c r="G537"/>
  <c r="I538"/>
  <c r="G294"/>
  <c r="I295"/>
  <c r="H143"/>
  <c r="L144"/>
  <c r="G22"/>
  <c r="G269"/>
  <c r="L269" s="1"/>
  <c r="I270"/>
  <c r="G123"/>
  <c r="I124"/>
  <c r="H53"/>
  <c r="L54"/>
  <c r="G252"/>
  <c r="I422"/>
  <c r="I229"/>
  <c r="L463"/>
  <c r="G287"/>
  <c r="I288"/>
  <c r="H268"/>
  <c r="I79"/>
  <c r="H537"/>
  <c r="L538"/>
  <c r="H299"/>
  <c r="I188"/>
  <c r="G187"/>
  <c r="H462"/>
  <c r="L259"/>
  <c r="H306"/>
  <c r="I226"/>
  <c r="H41"/>
  <c r="L42"/>
  <c r="H24"/>
  <c r="L25"/>
  <c r="I25"/>
  <c r="L416"/>
  <c r="H136"/>
  <c r="L137"/>
  <c r="L195"/>
  <c r="G543"/>
  <c r="I544"/>
  <c r="G314"/>
  <c r="I315"/>
  <c r="L309"/>
  <c r="L173"/>
  <c r="H30"/>
  <c r="L481"/>
  <c r="G11"/>
  <c r="G369"/>
  <c r="I370"/>
  <c r="H574"/>
  <c r="L575"/>
  <c r="L455"/>
  <c r="G109"/>
  <c r="I110"/>
  <c r="G300"/>
  <c r="I301"/>
  <c r="I455"/>
  <c r="G574"/>
  <c r="I575"/>
  <c r="H166"/>
  <c r="H216"/>
  <c r="G518"/>
  <c r="G519"/>
  <c r="J285"/>
  <c r="J283"/>
  <c r="J281"/>
  <c r="J380"/>
  <c r="I462" l="1"/>
  <c r="G461"/>
  <c r="I519"/>
  <c r="I402"/>
  <c r="L194"/>
  <c r="L68"/>
  <c r="I194"/>
  <c r="G193"/>
  <c r="L193" s="1"/>
  <c r="I68"/>
  <c r="I180"/>
  <c r="I77"/>
  <c r="G313"/>
  <c r="I314"/>
  <c r="H244"/>
  <c r="L245"/>
  <c r="H115"/>
  <c r="L116"/>
  <c r="H549"/>
  <c r="L550"/>
  <c r="H12"/>
  <c r="L13"/>
  <c r="I13"/>
  <c r="G153"/>
  <c r="I154"/>
  <c r="G531"/>
  <c r="I532"/>
  <c r="L123"/>
  <c r="L207"/>
  <c r="H186"/>
  <c r="L187"/>
  <c r="I511"/>
  <c r="G510"/>
  <c r="G509"/>
  <c r="H504"/>
  <c r="L505"/>
  <c r="G384"/>
  <c r="L384" s="1"/>
  <c r="G299"/>
  <c r="I299" s="1"/>
  <c r="I300"/>
  <c r="H443"/>
  <c r="L444"/>
  <c r="H192"/>
  <c r="G460"/>
  <c r="G10"/>
  <c r="L53"/>
  <c r="H52"/>
  <c r="H51" s="1"/>
  <c r="G293"/>
  <c r="I294"/>
  <c r="G443"/>
  <c r="I444"/>
  <c r="H286"/>
  <c r="L287"/>
  <c r="G45"/>
  <c r="I45" s="1"/>
  <c r="I46"/>
  <c r="H237"/>
  <c r="I237" s="1"/>
  <c r="L238"/>
  <c r="H153"/>
  <c r="L154"/>
  <c r="H334"/>
  <c r="L335"/>
  <c r="I335"/>
  <c r="G142"/>
  <c r="I143"/>
  <c r="G244"/>
  <c r="I245"/>
  <c r="H293"/>
  <c r="L294"/>
  <c r="G30"/>
  <c r="L30" s="1"/>
  <c r="I31"/>
  <c r="L57"/>
  <c r="L327"/>
  <c r="L511"/>
  <c r="H510"/>
  <c r="H509"/>
  <c r="L77"/>
  <c r="H313"/>
  <c r="L314"/>
  <c r="L180"/>
  <c r="L533"/>
  <c r="H542"/>
  <c r="L543"/>
  <c r="H560"/>
  <c r="L561"/>
  <c r="G40"/>
  <c r="I41"/>
  <c r="G431"/>
  <c r="I432"/>
  <c r="I327"/>
  <c r="H376"/>
  <c r="I376" s="1"/>
  <c r="L377"/>
  <c r="G275"/>
  <c r="I275" s="1"/>
  <c r="I276"/>
  <c r="H383"/>
  <c r="H165"/>
  <c r="H23"/>
  <c r="L24"/>
  <c r="I24"/>
  <c r="G286"/>
  <c r="I287"/>
  <c r="G573"/>
  <c r="I574"/>
  <c r="G107"/>
  <c r="I109"/>
  <c r="G108"/>
  <c r="G542"/>
  <c r="I543"/>
  <c r="H135"/>
  <c r="H129" s="1"/>
  <c r="L136"/>
  <c r="H461"/>
  <c r="L462"/>
  <c r="L300"/>
  <c r="L537"/>
  <c r="G268"/>
  <c r="I268" s="1"/>
  <c r="I269"/>
  <c r="H431"/>
  <c r="L432"/>
  <c r="G504"/>
  <c r="I505"/>
  <c r="I207"/>
  <c r="L519"/>
  <c r="H368"/>
  <c r="L369"/>
  <c r="I130"/>
  <c r="H147"/>
  <c r="L148"/>
  <c r="G306"/>
  <c r="L306" s="1"/>
  <c r="I307"/>
  <c r="I533"/>
  <c r="H531"/>
  <c r="L532"/>
  <c r="G320"/>
  <c r="I321"/>
  <c r="I238"/>
  <c r="L499"/>
  <c r="I499"/>
  <c r="I377"/>
  <c r="L109"/>
  <c r="H108"/>
  <c r="H107"/>
  <c r="H29"/>
  <c r="H215"/>
  <c r="I215" s="1"/>
  <c r="L216"/>
  <c r="I518"/>
  <c r="H573"/>
  <c r="L574"/>
  <c r="G368"/>
  <c r="I369"/>
  <c r="H40"/>
  <c r="L41"/>
  <c r="G186"/>
  <c r="I187"/>
  <c r="I123"/>
  <c r="L143"/>
  <c r="I537"/>
  <c r="H252"/>
  <c r="I252" s="1"/>
  <c r="L253"/>
  <c r="L344"/>
  <c r="I216"/>
  <c r="H351"/>
  <c r="I351" s="1"/>
  <c r="L352"/>
  <c r="G135"/>
  <c r="I136"/>
  <c r="G560"/>
  <c r="I561"/>
  <c r="G166"/>
  <c r="I167"/>
  <c r="G549"/>
  <c r="I550"/>
  <c r="I53"/>
  <c r="G52"/>
  <c r="G350"/>
  <c r="G115"/>
  <c r="I116"/>
  <c r="L130"/>
  <c r="L518"/>
  <c r="L321"/>
  <c r="H320"/>
  <c r="I344"/>
  <c r="G375"/>
  <c r="L402"/>
  <c r="J258"/>
  <c r="J190"/>
  <c r="J157"/>
  <c r="J62"/>
  <c r="J56"/>
  <c r="J359"/>
  <c r="J122"/>
  <c r="J119"/>
  <c r="J206"/>
  <c r="J236"/>
  <c r="J228"/>
  <c r="J197"/>
  <c r="J401"/>
  <c r="J393"/>
  <c r="J311"/>
  <c r="J553"/>
  <c r="J536"/>
  <c r="J517"/>
  <c r="J508"/>
  <c r="J515"/>
  <c r="J471"/>
  <c r="J469"/>
  <c r="J449"/>
  <c r="J447"/>
  <c r="I461" l="1"/>
  <c r="I135"/>
  <c r="L45"/>
  <c r="L299"/>
  <c r="I193"/>
  <c r="G192"/>
  <c r="L192" s="1"/>
  <c r="I108"/>
  <c r="L275"/>
  <c r="I320"/>
  <c r="I244"/>
  <c r="G374"/>
  <c r="G349"/>
  <c r="L286"/>
  <c r="G548"/>
  <c r="I549"/>
  <c r="G559"/>
  <c r="I560"/>
  <c r="G185"/>
  <c r="I186"/>
  <c r="G367"/>
  <c r="I368"/>
  <c r="H214"/>
  <c r="L215"/>
  <c r="H106"/>
  <c r="L107"/>
  <c r="I306"/>
  <c r="L135"/>
  <c r="H375"/>
  <c r="I375" s="1"/>
  <c r="L376"/>
  <c r="H559"/>
  <c r="L560"/>
  <c r="L509"/>
  <c r="H292"/>
  <c r="L293"/>
  <c r="H333"/>
  <c r="L334"/>
  <c r="I334"/>
  <c r="L52"/>
  <c r="G383"/>
  <c r="I384"/>
  <c r="I509"/>
  <c r="G165"/>
  <c r="I165" s="1"/>
  <c r="I166"/>
  <c r="L147"/>
  <c r="G129"/>
  <c r="I129" s="1"/>
  <c r="L268"/>
  <c r="G572"/>
  <c r="I573"/>
  <c r="L166"/>
  <c r="I431"/>
  <c r="G421"/>
  <c r="H541"/>
  <c r="L542"/>
  <c r="L320"/>
  <c r="G114"/>
  <c r="I115"/>
  <c r="I52"/>
  <c r="G51"/>
  <c r="I51" s="1"/>
  <c r="H350"/>
  <c r="L351"/>
  <c r="H142"/>
  <c r="L108"/>
  <c r="H530"/>
  <c r="L531"/>
  <c r="L431"/>
  <c r="H421"/>
  <c r="H382" s="1"/>
  <c r="G251"/>
  <c r="H460"/>
  <c r="I460" s="1"/>
  <c r="L461"/>
  <c r="G106"/>
  <c r="I107"/>
  <c r="I286"/>
  <c r="H22"/>
  <c r="H21" s="1"/>
  <c r="L23"/>
  <c r="I23"/>
  <c r="I40"/>
  <c r="L510"/>
  <c r="G29"/>
  <c r="L29" s="1"/>
  <c r="I30"/>
  <c r="G442"/>
  <c r="I443"/>
  <c r="G9"/>
  <c r="H442"/>
  <c r="L443"/>
  <c r="I510"/>
  <c r="H185"/>
  <c r="L186"/>
  <c r="G152"/>
  <c r="I153"/>
  <c r="H114"/>
  <c r="L115"/>
  <c r="L40"/>
  <c r="H367"/>
  <c r="L368"/>
  <c r="G503"/>
  <c r="I504"/>
  <c r="G541"/>
  <c r="I542"/>
  <c r="H312"/>
  <c r="L313"/>
  <c r="L237"/>
  <c r="H548"/>
  <c r="L549"/>
  <c r="L244"/>
  <c r="L252"/>
  <c r="H251"/>
  <c r="H572"/>
  <c r="L573"/>
  <c r="H152"/>
  <c r="L153"/>
  <c r="G292"/>
  <c r="I293"/>
  <c r="H503"/>
  <c r="L504"/>
  <c r="G530"/>
  <c r="I531"/>
  <c r="H11"/>
  <c r="L12"/>
  <c r="I12"/>
  <c r="G214"/>
  <c r="I147"/>
  <c r="G312"/>
  <c r="I313"/>
  <c r="J555"/>
  <c r="J547"/>
  <c r="J546"/>
  <c r="J427"/>
  <c r="J399"/>
  <c r="J398"/>
  <c r="J391"/>
  <c r="J390"/>
  <c r="J389"/>
  <c r="J388"/>
  <c r="J528"/>
  <c r="J526"/>
  <c r="J525"/>
  <c r="J524"/>
  <c r="J523"/>
  <c r="J476"/>
  <c r="I292" l="1"/>
  <c r="I192"/>
  <c r="I106"/>
  <c r="I214"/>
  <c r="L165"/>
  <c r="I367"/>
  <c r="G191"/>
  <c r="I503"/>
  <c r="I312"/>
  <c r="L51"/>
  <c r="G529"/>
  <c r="I530"/>
  <c r="L251"/>
  <c r="L312"/>
  <c r="H305"/>
  <c r="H529"/>
  <c r="L530"/>
  <c r="H558"/>
  <c r="L559"/>
  <c r="G305"/>
  <c r="L152"/>
  <c r="H128"/>
  <c r="L185"/>
  <c r="L442"/>
  <c r="L421"/>
  <c r="L541"/>
  <c r="I383"/>
  <c r="G382"/>
  <c r="L382" s="1"/>
  <c r="H441"/>
  <c r="G558"/>
  <c r="I559"/>
  <c r="H10"/>
  <c r="L11"/>
  <c r="I11"/>
  <c r="I541"/>
  <c r="G128"/>
  <c r="I152"/>
  <c r="H349"/>
  <c r="L350"/>
  <c r="I114"/>
  <c r="I421"/>
  <c r="G571"/>
  <c r="I572"/>
  <c r="L333"/>
  <c r="I333"/>
  <c r="L292"/>
  <c r="I350"/>
  <c r="H381"/>
  <c r="L114"/>
  <c r="L129"/>
  <c r="I442"/>
  <c r="G441"/>
  <c r="L22"/>
  <c r="I22"/>
  <c r="L503"/>
  <c r="L383"/>
  <c r="H571"/>
  <c r="L572"/>
  <c r="L548"/>
  <c r="L367"/>
  <c r="I29"/>
  <c r="G21"/>
  <c r="L460"/>
  <c r="L142"/>
  <c r="I142"/>
  <c r="H374"/>
  <c r="L375"/>
  <c r="L214"/>
  <c r="I185"/>
  <c r="I548"/>
  <c r="I251"/>
  <c r="H191"/>
  <c r="L106"/>
  <c r="J279"/>
  <c r="J243"/>
  <c r="J241"/>
  <c r="J213"/>
  <c r="J200"/>
  <c r="J199"/>
  <c r="J121"/>
  <c r="J103"/>
  <c r="J102"/>
  <c r="J97"/>
  <c r="J60"/>
  <c r="J39"/>
  <c r="J38"/>
  <c r="J27"/>
  <c r="I305" l="1"/>
  <c r="I529"/>
  <c r="L191"/>
  <c r="H20"/>
  <c r="L374"/>
  <c r="L571"/>
  <c r="I374"/>
  <c r="G440"/>
  <c r="I441"/>
  <c r="L349"/>
  <c r="I349"/>
  <c r="G557"/>
  <c r="I558"/>
  <c r="L128"/>
  <c r="G20"/>
  <c r="I21"/>
  <c r="I128"/>
  <c r="H440"/>
  <c r="L441"/>
  <c r="L529"/>
  <c r="I191"/>
  <c r="L21"/>
  <c r="I571"/>
  <c r="H9"/>
  <c r="L10"/>
  <c r="I10"/>
  <c r="G381"/>
  <c r="I381" s="1"/>
  <c r="I382"/>
  <c r="H557"/>
  <c r="L558"/>
  <c r="L305"/>
  <c r="J407"/>
  <c r="J426"/>
  <c r="J397"/>
  <c r="J580"/>
  <c r="J579"/>
  <c r="J578"/>
  <c r="J577"/>
  <c r="I557" l="1"/>
  <c r="L20"/>
  <c r="L557"/>
  <c r="L440"/>
  <c r="I440"/>
  <c r="L381"/>
  <c r="L9"/>
  <c r="H581"/>
  <c r="I9"/>
  <c r="I20"/>
  <c r="G581"/>
  <c r="F554"/>
  <c r="J554" s="1"/>
  <c r="J556"/>
  <c r="J340"/>
  <c r="J202"/>
  <c r="L581" l="1"/>
  <c r="I581"/>
  <c r="F75"/>
  <c r="J75" s="1"/>
  <c r="F74"/>
  <c r="J151"/>
  <c r="F126"/>
  <c r="F73" l="1"/>
  <c r="J74"/>
  <c r="F125"/>
  <c r="J126"/>
  <c r="J514"/>
  <c r="F124" l="1"/>
  <c r="J125"/>
  <c r="F72"/>
  <c r="J72" s="1"/>
  <c r="J73"/>
  <c r="J467"/>
  <c r="F123" l="1"/>
  <c r="J123" s="1"/>
  <c r="J124"/>
  <c r="J478"/>
  <c r="J348" l="1"/>
  <c r="J347"/>
  <c r="J319"/>
  <c r="J318"/>
  <c r="J317"/>
  <c r="J540"/>
  <c r="J420"/>
  <c r="J418"/>
  <c r="J480"/>
  <c r="J473"/>
  <c r="F464"/>
  <c r="J464" s="1"/>
  <c r="J451"/>
  <c r="J233"/>
  <c r="J231"/>
  <c r="J225"/>
  <c r="J223"/>
  <c r="F183"/>
  <c r="J162"/>
  <c r="J160"/>
  <c r="F150"/>
  <c r="J134"/>
  <c r="F111"/>
  <c r="J111" s="1"/>
  <c r="F101"/>
  <c r="J101" s="1"/>
  <c r="J92"/>
  <c r="J91"/>
  <c r="J89"/>
  <c r="J88"/>
  <c r="J86"/>
  <c r="J85"/>
  <c r="J19"/>
  <c r="J17"/>
  <c r="J16"/>
  <c r="J570"/>
  <c r="J566"/>
  <c r="J565"/>
  <c r="J564"/>
  <c r="F149" l="1"/>
  <c r="J150"/>
  <c r="F182"/>
  <c r="J183"/>
  <c r="J99"/>
  <c r="J100"/>
  <c r="F181" l="1"/>
  <c r="J182"/>
  <c r="F148"/>
  <c r="J149"/>
  <c r="J105"/>
  <c r="F147" l="1"/>
  <c r="J147" s="1"/>
  <c r="J148"/>
  <c r="F180"/>
  <c r="J180" s="1"/>
  <c r="J181"/>
  <c r="J489"/>
  <c r="J487"/>
  <c r="J485"/>
  <c r="J483"/>
  <c r="F396" l="1"/>
  <c r="J396" s="1"/>
  <c r="J332"/>
  <c r="F365" l="1"/>
  <c r="J373"/>
  <c r="J330"/>
  <c r="J267"/>
  <c r="J263"/>
  <c r="J265"/>
  <c r="J261"/>
  <c r="J274"/>
  <c r="J175"/>
  <c r="F120"/>
  <c r="J120" s="1"/>
  <c r="F104"/>
  <c r="J104" s="1"/>
  <c r="J81"/>
  <c r="J439"/>
  <c r="J179"/>
  <c r="F156" l="1"/>
  <c r="J156" s="1"/>
  <c r="J158"/>
  <c r="F26"/>
  <c r="J26" s="1"/>
  <c r="J28"/>
  <c r="F364"/>
  <c r="J364" s="1"/>
  <c r="J365"/>
  <c r="F240"/>
  <c r="J240" s="1"/>
  <c r="F210"/>
  <c r="J210" s="1"/>
  <c r="J146"/>
  <c r="J83"/>
  <c r="F37"/>
  <c r="J37" s="1"/>
  <c r="J502" l="1"/>
  <c r="F456" l="1"/>
  <c r="J456" s="1"/>
  <c r="J457"/>
  <c r="F495"/>
  <c r="J495" s="1"/>
  <c r="J496"/>
  <c r="J415"/>
  <c r="F459" l="1"/>
  <c r="J459" s="1"/>
  <c r="J219"/>
  <c r="J221"/>
  <c r="F278"/>
  <c r="J278" s="1"/>
  <c r="F494" l="1"/>
  <c r="J494" s="1"/>
  <c r="J498"/>
  <c r="J568"/>
  <c r="F488"/>
  <c r="J488" s="1"/>
  <c r="F486"/>
  <c r="J486" s="1"/>
  <c r="J491"/>
  <c r="J493"/>
  <c r="F484"/>
  <c r="J484" s="1"/>
  <c r="J437"/>
  <c r="J435"/>
  <c r="F417"/>
  <c r="J417" s="1"/>
  <c r="J363"/>
  <c r="J361"/>
  <c r="F482" l="1"/>
  <c r="J482" s="1"/>
  <c r="J250"/>
  <c r="J324"/>
  <c r="F266"/>
  <c r="J266" s="1"/>
  <c r="F264"/>
  <c r="J264" s="1"/>
  <c r="F262"/>
  <c r="J262" s="1"/>
  <c r="F260"/>
  <c r="J260" s="1"/>
  <c r="J256"/>
  <c r="J272"/>
  <c r="J44"/>
  <c r="F342"/>
  <c r="F341" l="1"/>
  <c r="J341" s="1"/>
  <c r="J342"/>
  <c r="F140"/>
  <c r="F137" s="1"/>
  <c r="J141"/>
  <c r="F259"/>
  <c r="J259" s="1"/>
  <c r="F145"/>
  <c r="J140" l="1"/>
  <c r="F144"/>
  <c r="J145"/>
  <c r="F212"/>
  <c r="F96"/>
  <c r="J96" s="1"/>
  <c r="F118"/>
  <c r="F117" l="1"/>
  <c r="J117" s="1"/>
  <c r="J118"/>
  <c r="F143"/>
  <c r="J144"/>
  <c r="F209"/>
  <c r="J209" s="1"/>
  <c r="J212"/>
  <c r="F136"/>
  <c r="J137"/>
  <c r="F235"/>
  <c r="F337"/>
  <c r="J337" s="1"/>
  <c r="F339"/>
  <c r="J339" s="1"/>
  <c r="F142" l="1"/>
  <c r="J142" s="1"/>
  <c r="J143"/>
  <c r="F135"/>
  <c r="J135" s="1"/>
  <c r="J136"/>
  <c r="F234"/>
  <c r="J234" s="1"/>
  <c r="J235"/>
  <c r="F336"/>
  <c r="F335" l="1"/>
  <c r="J335" s="1"/>
  <c r="J336"/>
  <c r="F316"/>
  <c r="J316" s="1"/>
  <c r="F576" l="1"/>
  <c r="F569"/>
  <c r="J569" s="1"/>
  <c r="F567"/>
  <c r="J567" s="1"/>
  <c r="F563"/>
  <c r="J563" s="1"/>
  <c r="F552"/>
  <c r="J552" s="1"/>
  <c r="F545"/>
  <c r="F539"/>
  <c r="F535"/>
  <c r="F522"/>
  <c r="F516"/>
  <c r="J516" s="1"/>
  <c r="F513"/>
  <c r="J513" s="1"/>
  <c r="F507"/>
  <c r="F501"/>
  <c r="F497"/>
  <c r="J497" s="1"/>
  <c r="F492"/>
  <c r="J492" s="1"/>
  <c r="F490"/>
  <c r="J490" s="1"/>
  <c r="F479"/>
  <c r="J479" s="1"/>
  <c r="F477"/>
  <c r="J477" s="1"/>
  <c r="F475"/>
  <c r="J475" s="1"/>
  <c r="F472"/>
  <c r="J472" s="1"/>
  <c r="F470"/>
  <c r="J470" s="1"/>
  <c r="F468"/>
  <c r="J468" s="1"/>
  <c r="F466"/>
  <c r="J466" s="1"/>
  <c r="F458"/>
  <c r="F453"/>
  <c r="F450"/>
  <c r="J450" s="1"/>
  <c r="F448"/>
  <c r="J448" s="1"/>
  <c r="F446"/>
  <c r="J446" s="1"/>
  <c r="F438"/>
  <c r="J438" s="1"/>
  <c r="F436"/>
  <c r="J436" s="1"/>
  <c r="F434"/>
  <c r="J434" s="1"/>
  <c r="F429"/>
  <c r="J429" s="1"/>
  <c r="F425"/>
  <c r="J425" s="1"/>
  <c r="F419"/>
  <c r="F414"/>
  <c r="J414" s="1"/>
  <c r="F412"/>
  <c r="J412" s="1"/>
  <c r="F410"/>
  <c r="J410" s="1"/>
  <c r="F408"/>
  <c r="J408" s="1"/>
  <c r="F406"/>
  <c r="J406" s="1"/>
  <c r="F404"/>
  <c r="J404" s="1"/>
  <c r="F400"/>
  <c r="J400" s="1"/>
  <c r="F392"/>
  <c r="J392" s="1"/>
  <c r="F387"/>
  <c r="J387" s="1"/>
  <c r="F386"/>
  <c r="J386" s="1"/>
  <c r="F379"/>
  <c r="F372"/>
  <c r="F371"/>
  <c r="J371" s="1"/>
  <c r="F362"/>
  <c r="J362" s="1"/>
  <c r="F360"/>
  <c r="J360" s="1"/>
  <c r="F358"/>
  <c r="J358" s="1"/>
  <c r="F356"/>
  <c r="J356" s="1"/>
  <c r="F354"/>
  <c r="J354" s="1"/>
  <c r="F346"/>
  <c r="J346" s="1"/>
  <c r="F334"/>
  <c r="J334" s="1"/>
  <c r="F331"/>
  <c r="J331" s="1"/>
  <c r="F329"/>
  <c r="J329" s="1"/>
  <c r="F325"/>
  <c r="J325" s="1"/>
  <c r="F323"/>
  <c r="J323" s="1"/>
  <c r="F315"/>
  <c r="F310"/>
  <c r="F303"/>
  <c r="F297"/>
  <c r="F290"/>
  <c r="F284"/>
  <c r="J284" s="1"/>
  <c r="F282"/>
  <c r="J282" s="1"/>
  <c r="F280"/>
  <c r="J280" s="1"/>
  <c r="F273"/>
  <c r="J273" s="1"/>
  <c r="F271"/>
  <c r="J271" s="1"/>
  <c r="F257"/>
  <c r="J257" s="1"/>
  <c r="F255"/>
  <c r="J255" s="1"/>
  <c r="F249"/>
  <c r="J249" s="1"/>
  <c r="F247"/>
  <c r="J247" s="1"/>
  <c r="F242"/>
  <c r="F232"/>
  <c r="J232" s="1"/>
  <c r="F230"/>
  <c r="J230" s="1"/>
  <c r="F227"/>
  <c r="F224"/>
  <c r="J224" s="1"/>
  <c r="F222"/>
  <c r="J222" s="1"/>
  <c r="F220"/>
  <c r="J220" s="1"/>
  <c r="F218"/>
  <c r="J218" s="1"/>
  <c r="F205"/>
  <c r="F201"/>
  <c r="J201" s="1"/>
  <c r="F198"/>
  <c r="J198" s="1"/>
  <c r="F196"/>
  <c r="J196" s="1"/>
  <c r="F189"/>
  <c r="F178"/>
  <c r="J178" s="1"/>
  <c r="F176"/>
  <c r="J176" s="1"/>
  <c r="F174"/>
  <c r="J174" s="1"/>
  <c r="F171"/>
  <c r="J171" s="1"/>
  <c r="F169"/>
  <c r="J169" s="1"/>
  <c r="F163"/>
  <c r="J163" s="1"/>
  <c r="F161"/>
  <c r="J161" s="1"/>
  <c r="F159"/>
  <c r="J159" s="1"/>
  <c r="F133"/>
  <c r="F110"/>
  <c r="F98"/>
  <c r="J98" s="1"/>
  <c r="F93"/>
  <c r="J93" s="1"/>
  <c r="F90"/>
  <c r="J90" s="1"/>
  <c r="F87"/>
  <c r="J87" s="1"/>
  <c r="F84"/>
  <c r="J84" s="1"/>
  <c r="F82"/>
  <c r="J82" s="1"/>
  <c r="F80"/>
  <c r="J80" s="1"/>
  <c r="F70"/>
  <c r="J70" s="1"/>
  <c r="F69"/>
  <c r="J69" s="1"/>
  <c r="F66"/>
  <c r="J66" s="1"/>
  <c r="F65"/>
  <c r="J65" s="1"/>
  <c r="F61"/>
  <c r="J61" s="1"/>
  <c r="F59"/>
  <c r="J59" s="1"/>
  <c r="F55"/>
  <c r="F49"/>
  <c r="F43"/>
  <c r="F33"/>
  <c r="F25"/>
  <c r="F18"/>
  <c r="J18" s="1"/>
  <c r="F15"/>
  <c r="F226" l="1"/>
  <c r="J226" s="1"/>
  <c r="J227"/>
  <c r="F308"/>
  <c r="J310"/>
  <c r="F455"/>
  <c r="J455" s="1"/>
  <c r="J458"/>
  <c r="F506"/>
  <c r="J507"/>
  <c r="F534"/>
  <c r="F533" s="1"/>
  <c r="J533" s="1"/>
  <c r="J535"/>
  <c r="F14"/>
  <c r="J14" s="1"/>
  <c r="J15"/>
  <c r="F109"/>
  <c r="J109" s="1"/>
  <c r="J110"/>
  <c r="F289"/>
  <c r="J290"/>
  <c r="F314"/>
  <c r="J315"/>
  <c r="F538"/>
  <c r="J539"/>
  <c r="F42"/>
  <c r="J43"/>
  <c r="F48"/>
  <c r="J49"/>
  <c r="F132"/>
  <c r="J133"/>
  <c r="F296"/>
  <c r="J297"/>
  <c r="F370"/>
  <c r="J372"/>
  <c r="F416"/>
  <c r="J416" s="1"/>
  <c r="J419"/>
  <c r="F544"/>
  <c r="J545"/>
  <c r="F32"/>
  <c r="J32" s="1"/>
  <c r="J33"/>
  <c r="F24"/>
  <c r="J25"/>
  <c r="F54"/>
  <c r="J55"/>
  <c r="F188"/>
  <c r="J189"/>
  <c r="F204"/>
  <c r="J204" s="1"/>
  <c r="J205"/>
  <c r="F239"/>
  <c r="J239" s="1"/>
  <c r="J242"/>
  <c r="F302"/>
  <c r="J303"/>
  <c r="F378"/>
  <c r="J379"/>
  <c r="F452"/>
  <c r="J452" s="1"/>
  <c r="J453"/>
  <c r="F500"/>
  <c r="J501"/>
  <c r="F521"/>
  <c r="J521" s="1"/>
  <c r="J522"/>
  <c r="F575"/>
  <c r="J576"/>
  <c r="F481"/>
  <c r="J481" s="1"/>
  <c r="F463"/>
  <c r="J463" s="1"/>
  <c r="F79"/>
  <c r="F155"/>
  <c r="F277"/>
  <c r="F345"/>
  <c r="F424"/>
  <c r="J424" s="1"/>
  <c r="F385"/>
  <c r="J385" s="1"/>
  <c r="F208"/>
  <c r="F474"/>
  <c r="J474" s="1"/>
  <c r="F116"/>
  <c r="J116" s="1"/>
  <c r="F433"/>
  <c r="F423"/>
  <c r="F328"/>
  <c r="F322"/>
  <c r="F270"/>
  <c r="F254"/>
  <c r="J254" s="1"/>
  <c r="F445"/>
  <c r="F551"/>
  <c r="F58"/>
  <c r="F353"/>
  <c r="F168"/>
  <c r="J168" s="1"/>
  <c r="F520"/>
  <c r="F173"/>
  <c r="J173" s="1"/>
  <c r="F229"/>
  <c r="J229" s="1"/>
  <c r="F203"/>
  <c r="J203" s="1"/>
  <c r="F309"/>
  <c r="J309" s="1"/>
  <c r="F246"/>
  <c r="F64"/>
  <c r="F195"/>
  <c r="J195" s="1"/>
  <c r="F512"/>
  <c r="F217"/>
  <c r="J217" s="1"/>
  <c r="F394"/>
  <c r="J394" s="1"/>
  <c r="F403"/>
  <c r="F562"/>
  <c r="F395"/>
  <c r="J395" s="1"/>
  <c r="F107" l="1"/>
  <c r="F106" s="1"/>
  <c r="J106" s="1"/>
  <c r="F108"/>
  <c r="J108" s="1"/>
  <c r="F238"/>
  <c r="F237" s="1"/>
  <c r="J237" s="1"/>
  <c r="F13"/>
  <c r="J13" s="1"/>
  <c r="F31"/>
  <c r="F30" s="1"/>
  <c r="F402"/>
  <c r="J402" s="1"/>
  <c r="J403"/>
  <c r="F518"/>
  <c r="J518" s="1"/>
  <c r="J520"/>
  <c r="F550"/>
  <c r="J551"/>
  <c r="F269"/>
  <c r="J270"/>
  <c r="F432"/>
  <c r="J433"/>
  <c r="F276"/>
  <c r="J277"/>
  <c r="F321"/>
  <c r="J321" s="1"/>
  <c r="J322"/>
  <c r="F301"/>
  <c r="J302"/>
  <c r="F53"/>
  <c r="J53" s="1"/>
  <c r="J54"/>
  <c r="F295"/>
  <c r="J296"/>
  <c r="F47"/>
  <c r="J48"/>
  <c r="F537"/>
  <c r="J537" s="1"/>
  <c r="J538"/>
  <c r="F288"/>
  <c r="J289"/>
  <c r="F505"/>
  <c r="J506"/>
  <c r="F307"/>
  <c r="J308"/>
  <c r="F63"/>
  <c r="J63" s="1"/>
  <c r="J64"/>
  <c r="F245"/>
  <c r="J246"/>
  <c r="F352"/>
  <c r="J352" s="1"/>
  <c r="J353"/>
  <c r="F444"/>
  <c r="J445"/>
  <c r="F327"/>
  <c r="J327" s="1"/>
  <c r="J328"/>
  <c r="F344"/>
  <c r="J345"/>
  <c r="F154"/>
  <c r="J155"/>
  <c r="F561"/>
  <c r="J562"/>
  <c r="F511"/>
  <c r="F510" s="1"/>
  <c r="J510" s="1"/>
  <c r="J512"/>
  <c r="F57"/>
  <c r="J58"/>
  <c r="F422"/>
  <c r="J422" s="1"/>
  <c r="J423"/>
  <c r="F207"/>
  <c r="J207" s="1"/>
  <c r="J208"/>
  <c r="F78"/>
  <c r="J79"/>
  <c r="F574"/>
  <c r="J575"/>
  <c r="F499"/>
  <c r="J499" s="1"/>
  <c r="J500"/>
  <c r="F377"/>
  <c r="J378"/>
  <c r="F187"/>
  <c r="J188"/>
  <c r="F23"/>
  <c r="J24"/>
  <c r="F543"/>
  <c r="J544"/>
  <c r="F369"/>
  <c r="J370"/>
  <c r="F131"/>
  <c r="J132"/>
  <c r="F41"/>
  <c r="J42"/>
  <c r="F313"/>
  <c r="J313" s="1"/>
  <c r="J314"/>
  <c r="F532"/>
  <c r="J534"/>
  <c r="F115"/>
  <c r="F253"/>
  <c r="F462"/>
  <c r="F216"/>
  <c r="F167"/>
  <c r="F519"/>
  <c r="J519" s="1"/>
  <c r="F68"/>
  <c r="J68" s="1"/>
  <c r="F194"/>
  <c r="J107" l="1"/>
  <c r="F12"/>
  <c r="J12" s="1"/>
  <c r="J31"/>
  <c r="F320"/>
  <c r="F312" s="1"/>
  <c r="J238"/>
  <c r="F384"/>
  <c r="J384" s="1"/>
  <c r="F351"/>
  <c r="F350" s="1"/>
  <c r="F166"/>
  <c r="J166" s="1"/>
  <c r="J167"/>
  <c r="F193"/>
  <c r="J194"/>
  <c r="F215"/>
  <c r="J216"/>
  <c r="F114"/>
  <c r="J114" s="1"/>
  <c r="J115"/>
  <c r="F461"/>
  <c r="J462"/>
  <c r="F542"/>
  <c r="J543"/>
  <c r="F52"/>
  <c r="J57"/>
  <c r="F560"/>
  <c r="J561"/>
  <c r="F333"/>
  <c r="J333" s="1"/>
  <c r="J344"/>
  <c r="F443"/>
  <c r="J444"/>
  <c r="F244"/>
  <c r="J244" s="1"/>
  <c r="J245"/>
  <c r="F306"/>
  <c r="J306" s="1"/>
  <c r="J307"/>
  <c r="F287"/>
  <c r="J288"/>
  <c r="F46"/>
  <c r="J47"/>
  <c r="F275"/>
  <c r="J275" s="1"/>
  <c r="J276"/>
  <c r="F268"/>
  <c r="J268" s="1"/>
  <c r="J269"/>
  <c r="F130"/>
  <c r="J131"/>
  <c r="F186"/>
  <c r="J187"/>
  <c r="F77"/>
  <c r="J77" s="1"/>
  <c r="J78"/>
  <c r="F252"/>
  <c r="J253"/>
  <c r="J532"/>
  <c r="F531"/>
  <c r="F40"/>
  <c r="J40" s="1"/>
  <c r="J41"/>
  <c r="F368"/>
  <c r="J369"/>
  <c r="F22"/>
  <c r="J22" s="1"/>
  <c r="J23"/>
  <c r="F376"/>
  <c r="J377"/>
  <c r="F573"/>
  <c r="J574"/>
  <c r="F29"/>
  <c r="J29" s="1"/>
  <c r="J30"/>
  <c r="F509"/>
  <c r="J509" s="1"/>
  <c r="J511"/>
  <c r="F153"/>
  <c r="J154"/>
  <c r="F11"/>
  <c r="F504"/>
  <c r="J505"/>
  <c r="F294"/>
  <c r="J295"/>
  <c r="F300"/>
  <c r="J301"/>
  <c r="F431"/>
  <c r="J432"/>
  <c r="F549"/>
  <c r="J550"/>
  <c r="F383" l="1"/>
  <c r="J383" s="1"/>
  <c r="J320"/>
  <c r="J351"/>
  <c r="F165"/>
  <c r="J165" s="1"/>
  <c r="F548"/>
  <c r="J548" s="1"/>
  <c r="J549"/>
  <c r="F530"/>
  <c r="J531"/>
  <c r="F503"/>
  <c r="J503" s="1"/>
  <c r="J504"/>
  <c r="F367"/>
  <c r="J367" s="1"/>
  <c r="J368"/>
  <c r="F349"/>
  <c r="J349" s="1"/>
  <c r="J350"/>
  <c r="F185"/>
  <c r="J185" s="1"/>
  <c r="J186"/>
  <c r="F305"/>
  <c r="J305" s="1"/>
  <c r="J312"/>
  <c r="F286"/>
  <c r="J286" s="1"/>
  <c r="J287"/>
  <c r="J52"/>
  <c r="F51"/>
  <c r="F460"/>
  <c r="J461"/>
  <c r="F192"/>
  <c r="J193"/>
  <c r="F152"/>
  <c r="J152" s="1"/>
  <c r="J153"/>
  <c r="F375"/>
  <c r="J376"/>
  <c r="F299"/>
  <c r="J299" s="1"/>
  <c r="J300"/>
  <c r="J431"/>
  <c r="F421"/>
  <c r="F293"/>
  <c r="J294"/>
  <c r="F10"/>
  <c r="J11"/>
  <c r="F572"/>
  <c r="J573"/>
  <c r="F251"/>
  <c r="J251" s="1"/>
  <c r="J252"/>
  <c r="F129"/>
  <c r="J129" s="1"/>
  <c r="J130"/>
  <c r="F45"/>
  <c r="J45" s="1"/>
  <c r="J46"/>
  <c r="F442"/>
  <c r="J442" s="1"/>
  <c r="J443"/>
  <c r="F559"/>
  <c r="J560"/>
  <c r="F541"/>
  <c r="J541" s="1"/>
  <c r="J542"/>
  <c r="F214"/>
  <c r="J214" s="1"/>
  <c r="J215"/>
  <c r="J421" l="1"/>
  <c r="F382"/>
  <c r="F21"/>
  <c r="J51"/>
  <c r="F9"/>
  <c r="J9" s="1"/>
  <c r="J10"/>
  <c r="J192"/>
  <c r="F191"/>
  <c r="J191" s="1"/>
  <c r="F128"/>
  <c r="J128" s="1"/>
  <c r="F558"/>
  <c r="J559"/>
  <c r="F374"/>
  <c r="J374" s="1"/>
  <c r="J375"/>
  <c r="F571"/>
  <c r="J571" s="1"/>
  <c r="J572"/>
  <c r="F292"/>
  <c r="J292" s="1"/>
  <c r="J293"/>
  <c r="F441"/>
  <c r="J460"/>
  <c r="J530"/>
  <c r="F529"/>
  <c r="J529" s="1"/>
  <c r="J21" l="1"/>
  <c r="F20"/>
  <c r="J441"/>
  <c r="F440"/>
  <c r="J440" s="1"/>
  <c r="F557"/>
  <c r="J557" s="1"/>
  <c r="J558"/>
  <c r="F381"/>
  <c r="J381" s="1"/>
  <c r="J382"/>
  <c r="J20" l="1"/>
  <c r="F581"/>
  <c r="J581" s="1"/>
</calcChain>
</file>

<file path=xl/sharedStrings.xml><?xml version="1.0" encoding="utf-8"?>
<sst xmlns="http://schemas.openxmlformats.org/spreadsheetml/2006/main" count="2556" uniqueCount="605">
  <si>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</si>
  <si>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</si>
  <si>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</si>
  <si>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</si>
  <si>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</si>
  <si>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</si>
  <si>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</si>
  <si>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</si>
  <si>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</si>
  <si>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</si>
  <si>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</si>
  <si>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</si>
  <si>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</si>
  <si>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</si>
  <si>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</si>
  <si>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</si>
  <si>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</si>
  <si>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</si>
  <si>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</si>
  <si>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992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</si>
  <si>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</si>
  <si>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</si>
  <si>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</si>
  <si>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</si>
  <si>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</si>
  <si>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</si>
  <si>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</si>
  <si>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000</t>
  </si>
  <si>
    <t>0000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</si>
  <si>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</si>
  <si>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</si>
  <si>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</si>
  <si>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</si>
  <si>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</si>
  <si>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</si>
  <si>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</si>
  <si>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</si>
  <si>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</si>
  <si>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</si>
  <si>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</si>
  <si>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</si>
  <si>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</si>
  <si>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</si>
  <si>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</si>
  <si>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</si>
  <si>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</si>
  <si>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0700</t>
  </si>
  <si>
    <t>0701</t>
  </si>
  <si>
    <t>0702</t>
  </si>
  <si>
    <t>0709</t>
  </si>
  <si>
    <t>1001</t>
  </si>
  <si>
    <t>0100</t>
  </si>
  <si>
    <t>0800</t>
  </si>
  <si>
    <t>1100</t>
  </si>
  <si>
    <t xml:space="preserve">Ведомство </t>
  </si>
  <si>
    <t>994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</si>
  <si>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</si>
  <si>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</si>
  <si>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</si>
  <si>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</si>
  <si>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</si>
  <si>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</si>
  <si>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</si>
  <si>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995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</si>
  <si>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</si>
  <si>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996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</si>
  <si>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</si>
  <si>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</si>
  <si>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</si>
  <si>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</si>
  <si>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</si>
  <si>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</si>
  <si>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</si>
  <si>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</si>
  <si>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Культура и  кинематография</t>
  </si>
  <si>
    <t>0804</t>
  </si>
  <si>
    <t>Охрана семьи и детства</t>
  </si>
  <si>
    <t>1004</t>
  </si>
  <si>
    <t>Реализация государственной политики в области приватизации и управления государственной и муниципальной собственностью</t>
  </si>
  <si>
    <t>Средства массовой информации</t>
  </si>
  <si>
    <t>1200</t>
  </si>
  <si>
    <t>Периодическая печать и издательства</t>
  </si>
  <si>
    <t>1202</t>
  </si>
  <si>
    <t>Национальная оборона</t>
  </si>
  <si>
    <t>0200</t>
  </si>
  <si>
    <t>0203</t>
  </si>
  <si>
    <t>Расходы, связанные с исполнением решений, принятых судебными органами</t>
  </si>
  <si>
    <t>Резервные средства</t>
  </si>
  <si>
    <t>870</t>
  </si>
  <si>
    <t>810</t>
  </si>
  <si>
    <t>к муниципальному правовому акту</t>
  </si>
  <si>
    <t>0707</t>
  </si>
  <si>
    <t>Социальное обеспечение населения</t>
  </si>
  <si>
    <t>1003</t>
  </si>
  <si>
    <t>Здравоохранение</t>
  </si>
  <si>
    <t>Другие вопросы в области здравоохранения</t>
  </si>
  <si>
    <t>0900</t>
  </si>
  <si>
    <t>0909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</si>
  <si>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</si>
  <si>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</si>
  <si>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</si>
  <si>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</si>
  <si>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</si>
  <si>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</si>
  <si>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</si>
  <si>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</si>
  <si>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</si>
  <si>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</si>
  <si>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</si>
  <si>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</si>
  <si>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Мобилизационная и вневойсковая подготовка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</si>
  <si>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</si>
  <si>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Проведение мероприятий для детей и молодежи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</si>
  <si>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</si>
  <si>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</si>
  <si>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</si>
  <si>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</si>
  <si>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</si>
  <si>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</si>
  <si>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</si>
  <si>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</si>
  <si>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Обслуживание муниципального долга</t>
  </si>
  <si>
    <t>730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</si>
  <si>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</si>
  <si>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</si>
  <si>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</si>
  <si>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</si>
  <si>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</si>
  <si>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</si>
  <si>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</si>
  <si>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</si>
  <si>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</si>
  <si>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</si>
  <si>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</si>
  <si>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</si>
  <si>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</si>
  <si>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</si>
  <si>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</si>
  <si>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</si>
  <si>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</si>
  <si>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>Расходы на выплаты персоналу казенных учреждений</t>
  </si>
  <si>
    <t>110</t>
  </si>
  <si>
    <t>850</t>
  </si>
  <si>
    <t>Жилищно- коммунальное хозяйство</t>
  </si>
  <si>
    <t>0500</t>
  </si>
  <si>
    <t>Жилищное хозяйство</t>
  </si>
  <si>
    <t>0501</t>
  </si>
  <si>
    <t>Другие вопросы в области культуры, кинематографии</t>
  </si>
  <si>
    <t>Коммунальное хозяйство</t>
  </si>
  <si>
    <t>0502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</si>
  <si>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</si>
  <si>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</si>
  <si>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</si>
  <si>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</si>
  <si>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</si>
  <si>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</si>
  <si>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</si>
  <si>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</si>
  <si>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</si>
  <si>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</si>
  <si>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</si>
  <si>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</si>
  <si>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</si>
  <si>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</si>
  <si>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</si>
  <si>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</si>
  <si>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99 9 99 93040</t>
  </si>
  <si>
    <t>12 0 00 00000</t>
  </si>
  <si>
    <t>12 1 00 00000</t>
  </si>
  <si>
    <t>12 2 00 00000</t>
  </si>
  <si>
    <t>12 2 03 20190</t>
  </si>
  <si>
    <t>12 2 03 20200</t>
  </si>
  <si>
    <t>13 0 00 00000</t>
  </si>
  <si>
    <t>13 1 00 00000</t>
  </si>
  <si>
    <t>17 0 00 00000</t>
  </si>
  <si>
    <t>06 0 00 00000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</si>
  <si>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</si>
  <si>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</si>
  <si>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</si>
  <si>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</si>
  <si>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</si>
  <si>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05 3 00 00000</t>
  </si>
  <si>
    <t>02 6 00 00000</t>
  </si>
  <si>
    <t>06 6 00 00000</t>
  </si>
  <si>
    <t>99 9 99 59300</t>
  </si>
  <si>
    <t>Благоустройство</t>
  </si>
  <si>
    <t>0503</t>
  </si>
  <si>
    <t>Национальная безопасность и правоохранительная деятельность</t>
  </si>
  <si>
    <t>0300</t>
  </si>
  <si>
    <t xml:space="preserve">00 0 00 00000 </t>
  </si>
  <si>
    <t>12 2 03 00000</t>
  </si>
  <si>
    <t>Исполнение судебных актов</t>
  </si>
  <si>
    <t>06 6 01 S2320</t>
  </si>
  <si>
    <t>06 3 01 L4970</t>
  </si>
  <si>
    <t>Премии и гранты</t>
  </si>
  <si>
    <t>350</t>
  </si>
  <si>
    <t xml:space="preserve">Софинансирование из местного бюджета мероприятий по обеспечению развития и укреплению материально-технической базы домов культуры в населенных пунктах с числом жителей до 50 тысяч человек </t>
  </si>
  <si>
    <t xml:space="preserve">05 3 01 L4670 </t>
  </si>
  <si>
    <t>Субсидии организациям на возмещение расходов в области ЖКХ</t>
  </si>
  <si>
    <t>06 6 02 60030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</si>
  <si>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</si>
  <si>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</si>
  <si>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</si>
  <si>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</si>
  <si>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</si>
  <si>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Массовый спорт</t>
  </si>
  <si>
    <t>1102</t>
  </si>
  <si>
    <t>Основное мероприятие "Выполнение обязательств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</si>
  <si>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</si>
  <si>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06 5 00 00000</t>
  </si>
  <si>
    <t>06 5 01 00000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</si>
  <si>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</si>
  <si>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</si>
  <si>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</si>
  <si>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</si>
  <si>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</si>
  <si>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</si>
  <si>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</si>
  <si>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</si>
  <si>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</si>
  <si>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</si>
  <si>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</si>
  <si>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</si>
  <si>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</si>
  <si>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</si>
  <si>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</si>
  <si>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</si>
  <si>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</si>
  <si>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</si>
  <si>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</si>
  <si>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</si>
  <si>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</si>
  <si>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</si>
  <si>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</si>
  <si>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</si>
  <si>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</si>
  <si>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06 6 03 00000</t>
  </si>
  <si>
    <t>06 6 03 S2620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</si>
  <si>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</si>
  <si>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0703</t>
  </si>
  <si>
    <t>13 1 01 00000</t>
  </si>
  <si>
    <t>02 2 01 53030</t>
  </si>
  <si>
    <t>13 1 01 S2280</t>
  </si>
  <si>
    <t>20 0 00 00000</t>
  </si>
  <si>
    <t>99 9 99 93180</t>
  </si>
  <si>
    <t>06 5 01 R0820</t>
  </si>
  <si>
    <t>02 6 Е1 93140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</si>
  <si>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</si>
  <si>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</si>
  <si>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</si>
  <si>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</si>
  <si>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</si>
  <si>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</si>
  <si>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</si>
  <si>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</si>
  <si>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</si>
  <si>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бюджетам муниципальных образований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</si>
  <si>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06 6 01 S2100</t>
  </si>
  <si>
    <t>Софинансирование из местного бюджета 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</si>
  <si>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</si>
  <si>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</si>
  <si>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</si>
  <si>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</si>
  <si>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</si>
  <si>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</si>
  <si>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Субсидии бюджетам муниципальных образований на мероприятия по озданию и развитию системы газоснабжения муниципальных образований</t>
  </si>
  <si>
    <t>Софинансирование из местного бюджета на мероприятия по озданию и развитию системы газоснабжения муниципальных образований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</si>
  <si>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</si>
  <si>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</si>
  <si>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</si>
  <si>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Субсидии из краевого бюджета бюджетам муниципальных образований Приморского края на на реализацию федеральной целевой программы "Увековечение памяти погибших при защите Отечества на 2019 - 2024 годы"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</si>
  <si>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</si>
  <si>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</si>
  <si>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</si>
  <si>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</si>
  <si>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</si>
  <si>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</si>
  <si>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</si>
  <si>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</si>
  <si>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</si>
  <si>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</si>
  <si>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</si>
  <si>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</si>
  <si>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</si>
  <si>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</si>
  <si>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Субвенции                                                                                                       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</si>
  <si>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реализацию государственногых полномочий в сфере транспортного обслуживания по муниципальным маршрутам в границах муниципальных образований</t>
  </si>
  <si>
    <t>Региональный проект "Региональная и местная дорожная сеть"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</si>
  <si>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</si>
  <si>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</si>
  <si>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</si>
  <si>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Компенсационные выплаты за найм жилого помещения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</si>
  <si>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</si>
  <si>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</si>
  <si>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</si>
  <si>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</si>
  <si>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Другие вопросы в области национальной экономики</t>
  </si>
  <si>
    <t>0412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</si>
  <si>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</si>
  <si>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</si>
  <si>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</si>
  <si>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</si>
  <si>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12 1 01 60010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</si>
  <si>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</si>
  <si>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>12 1 01 00000</t>
  </si>
  <si>
    <t>Перевоз невостребованных трупов в морг и к месту захоронения</t>
  </si>
  <si>
    <t>Содержанае общественнйх кладбищ Шкотовского муниципального округа</t>
  </si>
  <si>
    <t>99 9 99 20430</t>
  </si>
  <si>
    <t>99 9 99 20440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</si>
  <si>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</si>
  <si>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</si>
  <si>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</si>
  <si>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</si>
  <si>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</si>
  <si>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</si>
  <si>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</si>
  <si>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</si>
  <si>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</si>
  <si>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</si>
  <si>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</si>
  <si>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</si>
  <si>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</si>
  <si>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</si>
  <si>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02 2 03 L7500</t>
  </si>
  <si>
    <t>Основное мероприятие региональный проект "Патриотическое воспитание граждан Российской Федерации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</si>
  <si>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</si>
  <si>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</si>
  <si>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</si>
  <si>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</si>
  <si>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</si>
  <si>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</si>
  <si>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</si>
  <si>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Дополнительное образование детей</t>
  </si>
  <si>
    <t>Молодежная политика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</si>
  <si>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</si>
  <si>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</si>
  <si>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</si>
  <si>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Подпрограмма "Социальная поддержка семей и детей""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</si>
  <si>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</si>
  <si>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</si>
  <si>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</si>
  <si>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</si>
  <si>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</si>
  <si>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Подпрограмма "Организация досуга и обеспечение населения Шкотовского округа услугами организации культуры" (клубная система)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</si>
  <si>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</si>
  <si>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</si>
  <si>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</si>
  <si>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</si>
  <si>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</si>
  <si>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</si>
  <si>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</si>
  <si>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</si>
  <si>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</si>
  <si>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</si>
  <si>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</si>
  <si>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Муниципальная 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</si>
  <si>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</si>
  <si>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</si>
  <si>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</si>
  <si>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Резервный фонд администрации Шкотовского муниципального окргуа</t>
  </si>
  <si>
    <t>0105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</si>
  <si>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</si>
  <si>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</si>
  <si>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</si>
  <si>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</si>
  <si>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</si>
  <si>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</si>
  <si>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</si>
  <si>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</si>
  <si>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</si>
  <si>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</si>
  <si>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</si>
  <si>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</si>
  <si>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</si>
  <si>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</si>
  <si>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</si>
  <si>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</si>
  <si>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</si>
  <si>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</si>
  <si>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</si>
  <si>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</si>
  <si>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</si>
  <si>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</si>
  <si>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</si>
  <si>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</si>
  <si>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2020-2027 годы"</t>
  </si>
  <si>
    <t>Подпрограмма "Обеспечение жильём молодых семей Шкотовского муниципального округа"</t>
  </si>
  <si>
    <t>06 3 01 00000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</si>
  <si>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</si>
  <si>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</si>
  <si>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</si>
  <si>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 xml:space="preserve">Муниципальная программа "Обеспечение доступным жильём и качественными услугами жилищно-коммунального хозяйства населения сельских поселений Шкотовского муниципального округа на 2020-2027 годы" 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</si>
  <si>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</si>
  <si>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</si>
  <si>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</si>
  <si>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</si>
  <si>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</si>
  <si>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</si>
  <si>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</si>
  <si>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</si>
  <si>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</si>
  <si>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</si>
  <si>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</si>
  <si>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</si>
  <si>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</si>
  <si>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1301</t>
  </si>
  <si>
    <t>99 9 99 10080</t>
  </si>
  <si>
    <t>0310</t>
  </si>
  <si>
    <t>Организация выполнения и осуществления мер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</si>
  <si>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</si>
  <si>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</si>
  <si>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</si>
  <si>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</si>
  <si>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</si>
  <si>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</si>
  <si>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</si>
  <si>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</si>
  <si>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</si>
  <si>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</si>
  <si>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</si>
  <si>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</si>
  <si>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</si>
  <si>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</si>
  <si>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</si>
  <si>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</si>
  <si>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>18 1 02 00000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</si>
  <si>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</si>
  <si>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</si>
  <si>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</si>
  <si>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</si>
  <si>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02 3 03 20050</t>
  </si>
  <si>
    <t>02 3 03 00000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</si>
  <si>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</si>
  <si>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Основное мероприятие "Поддержка организаций коммунального хозяйства"</t>
  </si>
  <si>
    <t>06 6 02 00000</t>
  </si>
  <si>
    <t>06 6 02 60050</t>
  </si>
  <si>
    <t>06 6 02 60040</t>
  </si>
  <si>
    <t>Субсидии на возмещение затрат на оплату жилищных услуг и услуг отопления жилых помещений семей военослужащих в зоне СВО</t>
  </si>
  <si>
    <t>Подпрограмма "Подпрограмма "Обеспечение деятельности органов исполнительной власти""</t>
  </si>
  <si>
    <t>06 9 00 00000</t>
  </si>
  <si>
    <t>06 9 01 00000</t>
  </si>
  <si>
    <t>06 9 01 20320</t>
  </si>
  <si>
    <t>Основное мероприятие "Капитальный ремонт многоквартирных домов Шкотовского муниципального округа"</t>
  </si>
  <si>
    <t>Бюджетные инвестиции в объекты капитального строительства государственной (муниципальной) собственности</t>
  </si>
  <si>
    <t>Основное мероприятие "Поддержка муниципальных программ в сфере водоснабжения, водоотведения и водоочистки"</t>
  </si>
  <si>
    <t>06 6 01 00000</t>
  </si>
  <si>
    <t>Капитальный ремонт объектов централизованного водоотведения с. Анисимовка</t>
  </si>
  <si>
    <t>06 6 01 20350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</si>
  <si>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</si>
  <si>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06 6 02 60060</t>
  </si>
  <si>
    <t>06 6 04 00000</t>
  </si>
  <si>
    <t>Основное мероприятие "Обустройство и содержание контейнерных площадок временного размещения ТКО на территории сельских поселений"</t>
  </si>
  <si>
    <t>Меропрятия по обустройству и содержанию контейнерных площадок временного размещения ТКО</t>
  </si>
  <si>
    <t>06 6 04 20420</t>
  </si>
  <si>
    <t>Содержание и обслуживание казны Шкотовского муниципального округа</t>
  </si>
  <si>
    <t>Содержанае и обслуживание казны Шкотовского муниципального округа</t>
  </si>
  <si>
    <t>99 9 99 20260</t>
  </si>
  <si>
    <t>20 1 00 00000</t>
  </si>
  <si>
    <t>20 1 02 00000</t>
  </si>
  <si>
    <t>20 1 02 S2610</t>
  </si>
  <si>
    <t>Муниципальная программа "Энергоэффективность, развитие газоснабжения и энергетики в Шкотовском муниципальном округе на 2020-2027 годы"</t>
  </si>
  <si>
    <t>Подпрограмма "Создание и развитие системы газоснабжения Шкотовского муниципального округа на 2020-2027 годы"</t>
  </si>
  <si>
    <t>Подпрограмма "Развитие сферы ритуальных услуг на территории Шкотовского муниципального округа"</t>
  </si>
  <si>
    <t>Основное мероприятие "Развитие сферы ритуальных услуг на территории Шкотовского муниципального округа"</t>
  </si>
  <si>
    <t>13 2 00 00000</t>
  </si>
  <si>
    <t>13 2 01 00000</t>
  </si>
  <si>
    <t>Софинансирование из местного бюджета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</si>
  <si>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12 2 03 S2380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</si>
  <si>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</si>
  <si>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</si>
  <si>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</si>
  <si>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</si>
  <si>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6 EВ 00000</t>
  </si>
  <si>
    <t>02 6 EВ 51790</t>
  </si>
  <si>
    <t>02 1 03 00000</t>
  </si>
  <si>
    <t>02 1 03 L5764</t>
  </si>
  <si>
    <t>13 2 01 S2170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</si>
  <si>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</si>
  <si>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</si>
  <si>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"Газоснабжение и газификация Шкотовского муниципального округа"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</si>
  <si>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</si>
  <si>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</si>
  <si>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</si>
  <si>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Развитие кадрового потенциала в образовательных организациях Шкотовского муниципального округа</t>
  </si>
  <si>
    <t>Дума Шкотовского муниципального округа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</si>
  <si>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</si>
  <si>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</si>
  <si>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</si>
  <si>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</si>
  <si>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</si>
  <si>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03 3 01 00000</t>
  </si>
  <si>
    <t xml:space="preserve">Обеспечение беспрепятственного доступа инвалидов к объектам социальной инфраструктуры и информации 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</si>
  <si>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</si>
  <si>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03 3 01 20080</t>
  </si>
  <si>
    <t>05 4 01 00000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</si>
  <si>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</si>
  <si>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</si>
  <si>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</si>
  <si>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</si>
  <si>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</si>
  <si>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Реализация национального проекта "Образование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</si>
  <si>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</si>
  <si>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Муниципальная программа "Формирование современной городской среды Шкотовского муниципального округа" на 2024-2027 гг</t>
  </si>
  <si>
    <t>"Формирование современной городской среды Шкотовского муниципального округа" на 2024-2027 гг.</t>
  </si>
  <si>
    <t>Основное мероприятие " Мероприятия по благоустройству территорий, детских и спортивных площадок" Шкотовского муниципального округа"</t>
  </si>
  <si>
    <t>Муниципальная программа "Развитие образования Шкотовского муниципального округа" на 2024 – 2027 годы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</si>
  <si>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</si>
  <si>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>Основное мероприятие "Реализация мероприятий, направленных на привлечение детей и молодежи к участию в районных и краевых массовых  мероприятиях и повышение качества жизни детей"</t>
  </si>
  <si>
    <t xml:space="preserve">Подпрограмма "Патриотическое воспитание жителей Шкотовского муниципального округа Приморского края" 
</t>
  </si>
  <si>
    <t>Подпрограмма "Реализация образовательных программ общего образования"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</si>
  <si>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</si>
  <si>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>Подпрограмма "Развитие дополнительного образования детей и реализация мероприятий молодёжной политики"</t>
  </si>
  <si>
    <t>02 5 02 80010</t>
  </si>
  <si>
    <t>07 1 01 20360</t>
  </si>
  <si>
    <t>99 9 99 10100</t>
  </si>
  <si>
    <t>17 2 03 20370</t>
  </si>
  <si>
    <t>Контрольно-счетная комиссия Шкотовского муниципального округа</t>
  </si>
  <si>
    <t>Администрация Шкотовского муниципального округа</t>
  </si>
  <si>
    <t>Муниципальное казенное учреждение "Управление  образованием"  Шкотовского муниципального округа Приморского края</t>
  </si>
  <si>
    <t>муниципальное казенное учреждение "Хозяйственное управление администрации" Шкотовского муниципального округа</t>
  </si>
  <si>
    <t>Субсидии на возмещение затрат на оплату услуг по обеспечению твердым топливом семей военнослужащих в зоне СВО</t>
  </si>
  <si>
    <t>Компенсационные выплаты на возмещение затрат многодетных семей на обеспечение земельных участков инженерной инфроструктурой ВКХ</t>
  </si>
  <si>
    <t>0406</t>
  </si>
  <si>
    <t>07 1 01 20380</t>
  </si>
  <si>
    <t>Водное хозяйство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</si>
  <si>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</si>
  <si>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03 3 02 00000</t>
  </si>
  <si>
    <t>Основное мероприятие "Организация культурных и спортивных мероприятий, с участием людей с ограниченными возможностями"</t>
  </si>
  <si>
    <t>03 3 02 20020</t>
  </si>
  <si>
    <t>Организация культурных и спортивных мероприятий, с участием людей с ограниченными возможностями</t>
  </si>
  <si>
    <t>99 9 99 93010</t>
  </si>
  <si>
    <t>99 9 99 93030</t>
  </si>
  <si>
    <t>Субсидии бюджетам на подготовку проектов межевания земельных участков и на проведение кадастровых работ</t>
  </si>
  <si>
    <t>20 1 05 00000</t>
  </si>
  <si>
    <t>Основное мероприятие "Реализация проектов инициативного бюджетирования по направлению "Твой проект""</t>
  </si>
  <si>
    <t>Реализация проектов инициативного бюджетирования по направлению "Твой проект" ("Благоустройство территории Центропарка" с. Центральное)</t>
  </si>
  <si>
    <t>20 1 05 S2361</t>
  </si>
  <si>
    <t>Софинансирование из местного бюджета на реализацию проектов инициативного бюджетирования по направлению "Твой проект" ("Благоустройство территории Центропарка" с. Центральное)</t>
  </si>
  <si>
    <t>20 1 05 S2362</t>
  </si>
  <si>
    <t>Реализация проектов инициативного бюджетирования по направлению "Твой проект" (Школьный двор - мир моего детства МБОУ "СОШ № 26 пос. Новонежино")</t>
  </si>
  <si>
    <t>Софинансирование из местного бюджета на реализацию проектов инициативного бюджетирования по направлению "Твой проект" (Школьный двор - мир моего детства МБОУ "СОШ № 26 пос. Новонежино")</t>
  </si>
  <si>
    <t>06 5 01 93210</t>
  </si>
  <si>
    <t>05 3 А1 00000</t>
  </si>
  <si>
    <t>05 3 A1 55130</t>
  </si>
  <si>
    <t>Региональный проект "Культурная среда"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</si>
  <si>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</si>
  <si>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</si>
  <si>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Реализация проектов инициативного бюджетирования по направлению "Молодежный бюджет" ("Здравствуй, школа!" МБОУ "СОШ № 15. пос. Штыково")</t>
  </si>
  <si>
    <t>02 2 03 S2751</t>
  </si>
  <si>
    <t>02 2 03 S2752</t>
  </si>
  <si>
    <t>Реализация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</si>
  <si>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</si>
  <si>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("Здравствуй, школа!" МБОУ "СОШ № 15. пос. Штыково")</t>
  </si>
  <si>
    <t>14 0 00 00000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</si>
  <si>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</si>
  <si>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14 1 01 L5990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</si>
  <si>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</si>
  <si>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</si>
  <si>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14 1 00 00000</t>
  </si>
  <si>
    <t>14 1 01 00000</t>
  </si>
  <si>
    <t>Иные выплаты населению</t>
  </si>
  <si>
    <t>12 2 R1 S2440</t>
  </si>
  <si>
    <t>Финансовое обеспечение дорожной деятельности на автомобильных дорогах местного значения на территории Приморского края</t>
  </si>
  <si>
    <t>Софинансирование с местного бюджета на финансовое обеспечение дорожной деятельности на автомобильных дорогах местного значения на территории Приморского края</t>
  </si>
  <si>
    <t>муниципальное казенное учреждение  "Управление культуры" Шкотовского муниципального округа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</si>
  <si>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</si>
  <si>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</si>
  <si>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</si>
  <si>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99 9 99 94030</t>
  </si>
  <si>
    <t>Обеспечение мероприятий на реализацию проектов, инициируемых жителями поселения в сфере благоустройства территории за счет средств краевого бюджета (ТОС)</t>
  </si>
  <si>
    <t>09 1 P5 51390</t>
  </si>
  <si>
    <t>09 1 P5 00000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</si>
  <si>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</si>
  <si>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Основное мероприятие "Развитие массовой физической культуры и спорта в Шкотовском муниципальном округе"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</si>
  <si>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«Стадион на 300 мест а пгт. Шкотово Шкотовского округа Приморского края»</t>
  </si>
  <si>
    <t>2 2 01 50050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</si>
  <si>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</si>
  <si>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21 1 01 20310</t>
  </si>
  <si>
    <t>21 1 00 00000</t>
  </si>
  <si>
    <t>21 1 01 00000</t>
  </si>
  <si>
    <t>Муниципальная пограмма "Противодействие коррупции в Шкотовском муниципальном округе на 2022-2025 годы"</t>
  </si>
  <si>
    <t>Подпрограмма "Противодействие коррупции в Шкотовском муниципальном округе на 2022-2025 годы"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</si>
  <si>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</si>
  <si>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округе"</t>
  </si>
  <si>
    <t>360</t>
  </si>
  <si>
    <t>02 2 01 50050</t>
  </si>
  <si>
    <t>21 0 00 00000</t>
  </si>
  <si>
    <t>Приложение № 4</t>
  </si>
  <si>
    <t>% исполнения от первоначального плана</t>
  </si>
  <si>
    <t>% исполнения от плана с учетом внесенных изменений</t>
  </si>
  <si>
    <t>9=7-8</t>
  </si>
  <si>
    <t>10=8/6*100</t>
  </si>
  <si>
    <t>Исполнено на 01 января 2025 года</t>
  </si>
  <si>
    <t xml:space="preserve">Отчет об исполнении расходной части бюджета Шкотовского муниципального округа на 01 января 2025 года  в ведомственной структуре расходов бюджета </t>
  </si>
  <si>
    <t>12=8/7*100</t>
  </si>
  <si>
    <t>Пояснения от первоначального плана(отклонения 5%)</t>
  </si>
  <si>
    <t>Пояснения от плана с учетом внесенных изменений (отклонения 5%)</t>
  </si>
  <si>
    <t>Первоначальный бюджет на 2024 год (№ 24-МПА от 19.12.2023)</t>
  </si>
  <si>
    <t>В связи с внесением изменений в бюджет Приморского края № 495-КЗ от 22.12.2023 г. на 2024-2026 годы</t>
  </si>
  <si>
    <t>Перераспределение Резервного фонда Администрации Шкотовского муниципального округа согласно распоряжений</t>
  </si>
  <si>
    <t>Шкотовского муниципального округа</t>
  </si>
  <si>
    <t>Назначено с учетом внесенных изменений на 2024 год (декабрь 2024)Решение №37-МПА от 24.12.2024</t>
  </si>
  <si>
    <t>Отклонения от плана с учетом внесенных изменений  (+,-)</t>
  </si>
  <si>
    <t>(в рублях)</t>
  </si>
  <si>
    <t>от 24.06.2025 г. № 07-МПА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</si>
</sst>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00"/>
  </numFmts>
  <fonts count="1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 applyAlignment="1">
      <alignment vertical="top"/>
    </xf>
    <xf numFmtId="0" fontId="0" fillId="2" borderId="0" xfId="0" applyFont="1" applyFill="1"/>
    <xf numFmtId="2" fontId="0" fillId="2" borderId="0" xfId="0" applyNumberFormat="1" applyFont="1" applyFill="1" applyAlignment="1">
      <alignment vertical="top"/>
    </xf>
    <xf numFmtId="0" fontId="2" fillId="2" borderId="0" xfId="0" applyFont="1" applyFill="1"/>
    <xf numFmtId="0" fontId="5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/>
    </xf>
    <xf numFmtId="4" fontId="5" fillId="2" borderId="14" xfId="3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wrapText="1"/>
    </xf>
    <xf numFmtId="11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2" fontId="10" fillId="2" borderId="0" xfId="0" applyNumberFormat="1" applyFont="1" applyFill="1" applyAlignment="1">
      <alignment horizontal="center" vertical="center" wrapText="1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4"/>
  <sheetViews>
    <sheetView showGridLines="0" tabSelected="1" view="pageBreakPreview" topLeftCell="C1" zoomScale="90" zoomScaleSheetLayoutView="90" workbookViewId="0">
      <selection activeCell="J4" sqref="J4:M4"/>
    </sheetView>
  </sheetViews>
  <sheetFormatPr defaultColWidth="8.88671875" defaultRowHeight="13.2" outlineLevelRow="5"/>
  <cols>
    <col min="1" max="1" width="53.44140625" style="4" customWidth="1"/>
    <col min="2" max="2" width="11.33203125" style="4" customWidth="1"/>
    <col min="3" max="3" width="11.6640625" style="4" customWidth="1"/>
    <col min="4" max="4" width="15.88671875" style="4" customWidth="1"/>
    <col min="5" max="5" width="9.33203125" style="4" customWidth="1"/>
    <col min="6" max="6" width="20.5546875" style="4" customWidth="1"/>
    <col min="7" max="7" width="19.44140625" style="5" customWidth="1"/>
    <col min="8" max="8" width="19.33203125" style="4" customWidth="1"/>
    <col min="9" max="10" width="16.6640625" style="4" bestFit="1" customWidth="1"/>
    <col min="11" max="11" width="16.6640625" style="4" customWidth="1"/>
    <col min="12" max="12" width="16.6640625" style="4" bestFit="1" customWidth="1"/>
    <col min="13" max="13" width="20.109375" style="4" customWidth="1"/>
    <col min="14" max="16384" width="8.88671875" style="4"/>
  </cols>
  <sheetData>
    <row r="1" spans="1:13" ht="28.2" customHeight="1">
      <c r="J1" s="85" t="s">
        <v>587</v>
      </c>
      <c r="K1" s="85"/>
      <c r="L1" s="85"/>
      <c r="M1" s="85"/>
    </row>
    <row r="2" spans="1:13" ht="32.700000000000003" customHeight="1">
      <c r="J2" s="85" t="s">
        <v>90</v>
      </c>
      <c r="K2" s="85"/>
      <c r="L2" s="85"/>
      <c r="M2" s="85"/>
    </row>
    <row r="3" spans="1:13" ht="19.95" customHeight="1">
      <c r="J3" s="85" t="s">
        <v>600</v>
      </c>
      <c r="K3" s="85"/>
      <c r="L3" s="85"/>
      <c r="M3" s="85"/>
    </row>
    <row r="4" spans="1:13" ht="14.7" customHeight="1">
      <c r="J4" s="85" t="s">
        <v>604</v>
      </c>
      <c r="K4" s="85"/>
      <c r="L4" s="85"/>
      <c r="M4" s="85"/>
    </row>
    <row r="5" spans="1:13" s="6" customFormat="1" ht="40.200000000000003" customHeight="1">
      <c r="A5" s="86" t="s">
        <v>593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s="6" customFormat="1" ht="24" customHeight="1" thickBot="1">
      <c r="A6" s="7"/>
      <c r="B6" s="7"/>
      <c r="C6" s="7"/>
      <c r="D6" s="7"/>
      <c r="E6" s="7"/>
      <c r="G6" s="1"/>
      <c r="H6" s="1"/>
      <c r="I6" s="1"/>
      <c r="J6" s="8"/>
      <c r="K6" s="8"/>
      <c r="L6" s="9"/>
      <c r="M6" s="9" t="s">
        <v>603</v>
      </c>
    </row>
    <row r="7" spans="1:13" s="6" customFormat="1" ht="109.2">
      <c r="A7" s="10" t="s">
        <v>36</v>
      </c>
      <c r="B7" s="11" t="s">
        <v>54</v>
      </c>
      <c r="C7" s="11" t="s">
        <v>67</v>
      </c>
      <c r="D7" s="11" t="s">
        <v>37</v>
      </c>
      <c r="E7" s="11" t="s">
        <v>38</v>
      </c>
      <c r="F7" s="12" t="s">
        <v>597</v>
      </c>
      <c r="G7" s="13" t="s">
        <v>601</v>
      </c>
      <c r="H7" s="11" t="s">
        <v>592</v>
      </c>
      <c r="I7" s="11" t="s">
        <v>602</v>
      </c>
      <c r="J7" s="14" t="s">
        <v>588</v>
      </c>
      <c r="K7" s="15" t="s">
        <v>595</v>
      </c>
      <c r="L7" s="16" t="s">
        <v>589</v>
      </c>
      <c r="M7" s="16" t="s">
        <v>596</v>
      </c>
    </row>
    <row r="8" spans="1:13" s="6" customFormat="1" ht="18" customHeight="1">
      <c r="A8" s="17">
        <v>1</v>
      </c>
      <c r="B8" s="18">
        <v>2</v>
      </c>
      <c r="C8" s="18">
        <v>3</v>
      </c>
      <c r="D8" s="18">
        <v>4</v>
      </c>
      <c r="E8" s="18">
        <v>5</v>
      </c>
      <c r="F8" s="19">
        <v>6</v>
      </c>
      <c r="G8" s="18">
        <v>7</v>
      </c>
      <c r="H8" s="19">
        <v>8</v>
      </c>
      <c r="I8" s="18" t="s">
        <v>590</v>
      </c>
      <c r="J8" s="20" t="s">
        <v>591</v>
      </c>
      <c r="K8" s="19">
        <v>11</v>
      </c>
      <c r="L8" s="18" t="s">
        <v>594</v>
      </c>
      <c r="M8" s="18">
        <v>13</v>
      </c>
    </row>
    <row r="9" spans="1:13" s="1" customFormat="1" ht="31.2">
      <c r="A9" s="21" t="s">
        <v>516</v>
      </c>
      <c r="B9" s="21">
        <v>991</v>
      </c>
      <c r="C9" s="22" t="s">
        <v>28</v>
      </c>
      <c r="D9" s="21" t="s">
        <v>154</v>
      </c>
      <c r="E9" s="22" t="s">
        <v>27</v>
      </c>
      <c r="F9" s="23">
        <f>F10</f>
        <v>2623926.42</v>
      </c>
      <c r="G9" s="23">
        <f t="shared" ref="G9:H12" si="0">G10</f>
        <v>2979811.75</v>
      </c>
      <c r="H9" s="23">
        <f t="shared" si="0"/>
        <v>2979811.75</v>
      </c>
      <c r="I9" s="23">
        <f>$G9-$H9</f>
        <v>0</v>
      </c>
      <c r="J9" s="24">
        <f>$H9/$F9*100</f>
        <v>113.56</v>
      </c>
      <c r="K9" s="23"/>
      <c r="L9" s="23">
        <f>$H9/$G9*100</f>
        <v>100</v>
      </c>
      <c r="M9" s="23"/>
    </row>
    <row r="10" spans="1:13" s="1" customFormat="1" ht="15.6">
      <c r="A10" s="21" t="s">
        <v>29</v>
      </c>
      <c r="B10" s="21">
        <v>991</v>
      </c>
      <c r="C10" s="22" t="s">
        <v>51</v>
      </c>
      <c r="D10" s="21" t="s">
        <v>154</v>
      </c>
      <c r="E10" s="22" t="s">
        <v>27</v>
      </c>
      <c r="F10" s="23">
        <f>F11</f>
        <v>2623926.42</v>
      </c>
      <c r="G10" s="23">
        <f t="shared" si="0"/>
        <v>2979811.75</v>
      </c>
      <c r="H10" s="23">
        <f t="shared" si="0"/>
        <v>2979811.75</v>
      </c>
      <c r="I10" s="23">
        <f t="shared" ref="I10:I73" si="1">$G10-$H10</f>
        <v>0</v>
      </c>
      <c r="J10" s="24">
        <f t="shared" ref="J10:J73" si="2">$H10/$F10*100</f>
        <v>113.56</v>
      </c>
      <c r="K10" s="23"/>
      <c r="L10" s="23">
        <f t="shared" ref="L10:L73" si="3">$H10/$G10*100</f>
        <v>100</v>
      </c>
      <c r="M10" s="23"/>
    </row>
    <row r="11" spans="1:13" s="1" customFormat="1" ht="46.8">
      <c r="A11" s="18" t="s">
        <v>64</v>
      </c>
      <c r="B11" s="18">
        <v>991</v>
      </c>
      <c r="C11" s="25" t="s">
        <v>58</v>
      </c>
      <c r="D11" s="18" t="s">
        <v>154</v>
      </c>
      <c r="E11" s="25" t="s">
        <v>27</v>
      </c>
      <c r="F11" s="26">
        <f>F12</f>
        <v>2623926.42</v>
      </c>
      <c r="G11" s="26">
        <f t="shared" si="0"/>
        <v>2979811.75</v>
      </c>
      <c r="H11" s="26">
        <f t="shared" si="0"/>
        <v>2979811.75</v>
      </c>
      <c r="I11" s="26">
        <f t="shared" si="1"/>
        <v>0</v>
      </c>
      <c r="J11" s="27">
        <f t="shared" si="2"/>
        <v>113.56</v>
      </c>
      <c r="K11" s="26"/>
      <c r="L11" s="26">
        <f t="shared" si="3"/>
        <v>100</v>
      </c>
      <c r="M11" s="26"/>
    </row>
    <row r="12" spans="1:13" s="1" customFormat="1" ht="46.8">
      <c r="A12" s="28" t="s">
        <v>358</v>
      </c>
      <c r="B12" s="18">
        <v>991</v>
      </c>
      <c r="C12" s="25" t="s">
        <v>58</v>
      </c>
      <c r="D12" s="18" t="s">
        <v>155</v>
      </c>
      <c r="E12" s="25" t="s">
        <v>27</v>
      </c>
      <c r="F12" s="26">
        <f>F13</f>
        <v>2623926.42</v>
      </c>
      <c r="G12" s="26">
        <f t="shared" si="0"/>
        <v>2979811.75</v>
      </c>
      <c r="H12" s="26">
        <f t="shared" si="0"/>
        <v>2979811.75</v>
      </c>
      <c r="I12" s="26">
        <f t="shared" si="1"/>
        <v>0</v>
      </c>
      <c r="J12" s="27">
        <f t="shared" si="2"/>
        <v>113.56</v>
      </c>
      <c r="K12" s="26"/>
      <c r="L12" s="26">
        <f t="shared" si="3"/>
        <v>100</v>
      </c>
      <c r="M12" s="26"/>
    </row>
    <row r="13" spans="1:13" s="1" customFormat="1" ht="31.2">
      <c r="A13" s="18" t="s">
        <v>356</v>
      </c>
      <c r="B13" s="18">
        <v>991</v>
      </c>
      <c r="C13" s="25" t="s">
        <v>58</v>
      </c>
      <c r="D13" s="18" t="s">
        <v>284</v>
      </c>
      <c r="E13" s="25" t="s">
        <v>27</v>
      </c>
      <c r="F13" s="26">
        <f>F14+F18</f>
        <v>2623926.42</v>
      </c>
      <c r="G13" s="26">
        <f t="shared" ref="G13:H13" si="4">G14+G18</f>
        <v>2979811.75</v>
      </c>
      <c r="H13" s="26">
        <f t="shared" si="4"/>
        <v>2979811.75</v>
      </c>
      <c r="I13" s="26">
        <f t="shared" si="1"/>
        <v>0</v>
      </c>
      <c r="J13" s="27">
        <f t="shared" si="2"/>
        <v>113.56</v>
      </c>
      <c r="K13" s="26"/>
      <c r="L13" s="26">
        <f t="shared" si="3"/>
        <v>100</v>
      </c>
      <c r="M13" s="26"/>
    </row>
    <row r="14" spans="1:13" s="1" customFormat="1" ht="15.6">
      <c r="A14" s="18" t="s">
        <v>357</v>
      </c>
      <c r="B14" s="18">
        <v>991</v>
      </c>
      <c r="C14" s="25" t="s">
        <v>58</v>
      </c>
      <c r="D14" s="18" t="s">
        <v>281</v>
      </c>
      <c r="E14" s="25" t="s">
        <v>27</v>
      </c>
      <c r="F14" s="26">
        <f>F15</f>
        <v>600020.16</v>
      </c>
      <c r="G14" s="26">
        <f t="shared" ref="G14:H14" si="5">G15</f>
        <v>724529.01</v>
      </c>
      <c r="H14" s="26">
        <f t="shared" si="5"/>
        <v>724529.01</v>
      </c>
      <c r="I14" s="26">
        <f t="shared" si="1"/>
        <v>0</v>
      </c>
      <c r="J14" s="27">
        <f t="shared" si="2"/>
        <v>120.75</v>
      </c>
      <c r="K14" s="26"/>
      <c r="L14" s="26">
        <f t="shared" si="3"/>
        <v>100</v>
      </c>
      <c r="M14" s="26"/>
    </row>
    <row r="15" spans="1:13" s="1" customFormat="1" ht="31.2">
      <c r="A15" s="18" t="s">
        <v>100</v>
      </c>
      <c r="B15" s="18">
        <v>991</v>
      </c>
      <c r="C15" s="25" t="s">
        <v>58</v>
      </c>
      <c r="D15" s="18" t="s">
        <v>219</v>
      </c>
      <c r="E15" s="25" t="s">
        <v>27</v>
      </c>
      <c r="F15" s="26">
        <f>F16+F17</f>
        <v>600020.16</v>
      </c>
      <c r="G15" s="26">
        <f t="shared" ref="G15:H15" si="6">G16+G17</f>
        <v>724529.01</v>
      </c>
      <c r="H15" s="26">
        <f t="shared" si="6"/>
        <v>724529.01</v>
      </c>
      <c r="I15" s="26">
        <f t="shared" si="1"/>
        <v>0</v>
      </c>
      <c r="J15" s="27">
        <f t="shared" si="2"/>
        <v>120.75</v>
      </c>
      <c r="K15" s="26"/>
      <c r="L15" s="26">
        <f t="shared" si="3"/>
        <v>100</v>
      </c>
      <c r="M15" s="26"/>
    </row>
    <row r="16" spans="1:13" s="1" customFormat="1" ht="31.2">
      <c r="A16" s="29" t="s">
        <v>125</v>
      </c>
      <c r="B16" s="18">
        <v>991</v>
      </c>
      <c r="C16" s="25" t="s">
        <v>58</v>
      </c>
      <c r="D16" s="18" t="s">
        <v>219</v>
      </c>
      <c r="E16" s="18">
        <v>240</v>
      </c>
      <c r="F16" s="26">
        <v>590020.16</v>
      </c>
      <c r="G16" s="26">
        <f t="shared" ref="G16:H16" si="7">590020.16+125241.51+9267.34</f>
        <v>724529.01</v>
      </c>
      <c r="H16" s="26">
        <f t="shared" si="7"/>
        <v>724529.01</v>
      </c>
      <c r="I16" s="26">
        <f t="shared" si="1"/>
        <v>0</v>
      </c>
      <c r="J16" s="27">
        <f t="shared" si="2"/>
        <v>122.8</v>
      </c>
      <c r="K16" s="26"/>
      <c r="L16" s="26">
        <f t="shared" si="3"/>
        <v>100</v>
      </c>
      <c r="M16" s="26"/>
    </row>
    <row r="17" spans="1:13" s="1" customFormat="1" ht="15.6">
      <c r="A17" s="29" t="s">
        <v>129</v>
      </c>
      <c r="B17" s="18">
        <v>991</v>
      </c>
      <c r="C17" s="25" t="s">
        <v>58</v>
      </c>
      <c r="D17" s="18" t="s">
        <v>219</v>
      </c>
      <c r="E17" s="18">
        <v>850</v>
      </c>
      <c r="F17" s="26">
        <v>10000</v>
      </c>
      <c r="G17" s="26">
        <f t="shared" ref="G17:H17" si="8">10000-10000</f>
        <v>0</v>
      </c>
      <c r="H17" s="26">
        <f t="shared" si="8"/>
        <v>0</v>
      </c>
      <c r="I17" s="26">
        <f t="shared" si="1"/>
        <v>0</v>
      </c>
      <c r="J17" s="27">
        <f t="shared" si="2"/>
        <v>0</v>
      </c>
      <c r="K17" s="26"/>
      <c r="L17" s="26" t="e">
        <f t="shared" si="3"/>
        <v>#DIV/0!</v>
      </c>
      <c r="M17" s="26"/>
    </row>
    <row r="18" spans="1:13" s="1" customFormat="1" ht="15.6">
      <c r="A18" s="18" t="s">
        <v>101</v>
      </c>
      <c r="B18" s="18">
        <v>991</v>
      </c>
      <c r="C18" s="25" t="s">
        <v>58</v>
      </c>
      <c r="D18" s="18" t="s">
        <v>221</v>
      </c>
      <c r="E18" s="25" t="s">
        <v>27</v>
      </c>
      <c r="F18" s="26">
        <f>F19</f>
        <v>2023906.26</v>
      </c>
      <c r="G18" s="26">
        <f t="shared" ref="G18:H18" si="9">G19</f>
        <v>2255282.7400000002</v>
      </c>
      <c r="H18" s="26">
        <f t="shared" si="9"/>
        <v>2255282.7400000002</v>
      </c>
      <c r="I18" s="26">
        <f t="shared" si="1"/>
        <v>0</v>
      </c>
      <c r="J18" s="27">
        <f t="shared" si="2"/>
        <v>111.43</v>
      </c>
      <c r="K18" s="26"/>
      <c r="L18" s="26">
        <f t="shared" si="3"/>
        <v>100</v>
      </c>
      <c r="M18" s="26"/>
    </row>
    <row r="19" spans="1:13" s="1" customFormat="1" ht="31.2">
      <c r="A19" s="18" t="s">
        <v>127</v>
      </c>
      <c r="B19" s="18">
        <v>991</v>
      </c>
      <c r="C19" s="25" t="s">
        <v>58</v>
      </c>
      <c r="D19" s="18" t="s">
        <v>221</v>
      </c>
      <c r="E19" s="25" t="s">
        <v>128</v>
      </c>
      <c r="F19" s="26">
        <v>2023906.26</v>
      </c>
      <c r="G19" s="26">
        <f t="shared" ref="G19:H19" si="10">2023906.26+177145.79+53498.03+732.66</f>
        <v>2255282.7400000002</v>
      </c>
      <c r="H19" s="26">
        <f t="shared" si="10"/>
        <v>2255282.7400000002</v>
      </c>
      <c r="I19" s="26">
        <f t="shared" si="1"/>
        <v>0</v>
      </c>
      <c r="J19" s="27">
        <f t="shared" si="2"/>
        <v>111.43</v>
      </c>
      <c r="K19" s="26"/>
      <c r="L19" s="26">
        <f t="shared" si="3"/>
        <v>100</v>
      </c>
      <c r="M19" s="26"/>
    </row>
    <row r="20" spans="1:13" s="1" customFormat="1" ht="31.2">
      <c r="A20" s="21" t="s">
        <v>517</v>
      </c>
      <c r="B20" s="21">
        <v>992</v>
      </c>
      <c r="C20" s="22" t="s">
        <v>28</v>
      </c>
      <c r="D20" s="21" t="s">
        <v>154</v>
      </c>
      <c r="E20" s="22" t="s">
        <v>27</v>
      </c>
      <c r="F20" s="30">
        <f>F21+F106+F114+F128+F191+F292+F299+F305+F349+F367+F374</f>
        <v>474281935.92000002</v>
      </c>
      <c r="G20" s="30">
        <f>G21+G106+G114+G128+G191+G292+G299+G305+G349+G367+G374</f>
        <v>555536789.09000003</v>
      </c>
      <c r="H20" s="30">
        <f>H21+H106+H114+H128+H191+H292+H299+H305+H349+H367+H374</f>
        <v>523479945.31</v>
      </c>
      <c r="I20" s="30">
        <f t="shared" si="1"/>
        <v>32056843.780000001</v>
      </c>
      <c r="J20" s="31">
        <f t="shared" si="2"/>
        <v>110.37</v>
      </c>
      <c r="K20" s="30"/>
      <c r="L20" s="30">
        <f t="shared" si="3"/>
        <v>94.23</v>
      </c>
      <c r="M20" s="30"/>
    </row>
    <row r="21" spans="1:13" s="1" customFormat="1" ht="15.6">
      <c r="A21" s="21" t="s">
        <v>29</v>
      </c>
      <c r="B21" s="21">
        <v>992</v>
      </c>
      <c r="C21" s="22" t="s">
        <v>51</v>
      </c>
      <c r="D21" s="21" t="s">
        <v>154</v>
      </c>
      <c r="E21" s="22" t="s">
        <v>27</v>
      </c>
      <c r="F21" s="30">
        <f>F22+F29+F40+F45+F51</f>
        <v>151820979.59999999</v>
      </c>
      <c r="G21" s="30">
        <f t="shared" ref="G21:H21" si="11">G22+G29+G40+G45+G51</f>
        <v>171902809.86000001</v>
      </c>
      <c r="H21" s="30">
        <f t="shared" si="11"/>
        <v>161495456.56999999</v>
      </c>
      <c r="I21" s="30">
        <f t="shared" si="1"/>
        <v>10407353.289999999</v>
      </c>
      <c r="J21" s="31">
        <f t="shared" si="2"/>
        <v>106.37</v>
      </c>
      <c r="K21" s="30"/>
      <c r="L21" s="30">
        <f t="shared" si="3"/>
        <v>93.95</v>
      </c>
      <c r="M21" s="30"/>
    </row>
    <row r="22" spans="1:13" s="1" customFormat="1" ht="46.8">
      <c r="A22" s="18" t="s">
        <v>107</v>
      </c>
      <c r="B22" s="18">
        <v>992</v>
      </c>
      <c r="C22" s="25" t="s">
        <v>108</v>
      </c>
      <c r="D22" s="18" t="s">
        <v>154</v>
      </c>
      <c r="E22" s="25" t="s">
        <v>27</v>
      </c>
      <c r="F22" s="26">
        <f>F23</f>
        <v>3025000</v>
      </c>
      <c r="G22" s="26">
        <f t="shared" ref="G22:H25" si="12">G23</f>
        <v>4763487.8899999997</v>
      </c>
      <c r="H22" s="26">
        <f t="shared" si="12"/>
        <v>4763487.8899999997</v>
      </c>
      <c r="I22" s="26">
        <f t="shared" si="1"/>
        <v>0</v>
      </c>
      <c r="J22" s="27">
        <f t="shared" si="2"/>
        <v>157.47</v>
      </c>
      <c r="K22" s="26"/>
      <c r="L22" s="26">
        <f t="shared" si="3"/>
        <v>100</v>
      </c>
      <c r="M22" s="26"/>
    </row>
    <row r="23" spans="1:13" s="1" customFormat="1" ht="46.8">
      <c r="A23" s="28" t="s">
        <v>358</v>
      </c>
      <c r="B23" s="18">
        <v>992</v>
      </c>
      <c r="C23" s="25" t="s">
        <v>108</v>
      </c>
      <c r="D23" s="18" t="s">
        <v>155</v>
      </c>
      <c r="E23" s="25" t="s">
        <v>27</v>
      </c>
      <c r="F23" s="26">
        <f>F24</f>
        <v>3025000</v>
      </c>
      <c r="G23" s="26">
        <f t="shared" si="12"/>
        <v>4763487.8899999997</v>
      </c>
      <c r="H23" s="26">
        <f t="shared" si="12"/>
        <v>4763487.8899999997</v>
      </c>
      <c r="I23" s="26">
        <f t="shared" si="1"/>
        <v>0</v>
      </c>
      <c r="J23" s="27">
        <f t="shared" si="2"/>
        <v>157.47</v>
      </c>
      <c r="K23" s="26"/>
      <c r="L23" s="26">
        <f t="shared" si="3"/>
        <v>100</v>
      </c>
      <c r="M23" s="26"/>
    </row>
    <row r="24" spans="1:13" s="1" customFormat="1" ht="31.2">
      <c r="A24" s="18" t="s">
        <v>356</v>
      </c>
      <c r="B24" s="18">
        <v>992</v>
      </c>
      <c r="C24" s="25" t="s">
        <v>108</v>
      </c>
      <c r="D24" s="18" t="s">
        <v>284</v>
      </c>
      <c r="E24" s="25" t="s">
        <v>27</v>
      </c>
      <c r="F24" s="26">
        <f>F25</f>
        <v>3025000</v>
      </c>
      <c r="G24" s="26">
        <f t="shared" si="12"/>
        <v>4763487.8899999997</v>
      </c>
      <c r="H24" s="26">
        <f t="shared" si="12"/>
        <v>4763487.8899999997</v>
      </c>
      <c r="I24" s="26">
        <f t="shared" si="1"/>
        <v>0</v>
      </c>
      <c r="J24" s="27">
        <f t="shared" si="2"/>
        <v>157.47</v>
      </c>
      <c r="K24" s="26"/>
      <c r="L24" s="26">
        <f t="shared" si="3"/>
        <v>100</v>
      </c>
      <c r="M24" s="26"/>
    </row>
    <row r="25" spans="1:13" s="1" customFormat="1" ht="15.6">
      <c r="A25" s="18" t="s">
        <v>357</v>
      </c>
      <c r="B25" s="18">
        <v>992</v>
      </c>
      <c r="C25" s="25" t="s">
        <v>108</v>
      </c>
      <c r="D25" s="18" t="s">
        <v>281</v>
      </c>
      <c r="E25" s="25" t="s">
        <v>27</v>
      </c>
      <c r="F25" s="26">
        <f>F26</f>
        <v>3025000</v>
      </c>
      <c r="G25" s="26">
        <f t="shared" si="12"/>
        <v>4763487.8899999997</v>
      </c>
      <c r="H25" s="26">
        <f t="shared" si="12"/>
        <v>4763487.8899999997</v>
      </c>
      <c r="I25" s="26">
        <f t="shared" si="1"/>
        <v>0</v>
      </c>
      <c r="J25" s="27">
        <f t="shared" si="2"/>
        <v>157.47</v>
      </c>
      <c r="K25" s="26"/>
      <c r="L25" s="26">
        <f t="shared" si="3"/>
        <v>100</v>
      </c>
      <c r="M25" s="26"/>
    </row>
    <row r="26" spans="1:13" s="1" customFormat="1" ht="15.6">
      <c r="A26" s="18" t="s">
        <v>477</v>
      </c>
      <c r="B26" s="18">
        <v>992</v>
      </c>
      <c r="C26" s="25" t="s">
        <v>108</v>
      </c>
      <c r="D26" s="18" t="s">
        <v>218</v>
      </c>
      <c r="E26" s="25" t="s">
        <v>27</v>
      </c>
      <c r="F26" s="26">
        <f>F27+F28</f>
        <v>3025000</v>
      </c>
      <c r="G26" s="26">
        <f t="shared" ref="G26:H26" si="13">G27+G28</f>
        <v>4763487.8899999997</v>
      </c>
      <c r="H26" s="26">
        <f t="shared" si="13"/>
        <v>4763487.8899999997</v>
      </c>
      <c r="I26" s="26">
        <f t="shared" si="1"/>
        <v>0</v>
      </c>
      <c r="J26" s="27">
        <f t="shared" si="2"/>
        <v>157.47</v>
      </c>
      <c r="K26" s="26"/>
      <c r="L26" s="26">
        <f t="shared" si="3"/>
        <v>100</v>
      </c>
      <c r="M26" s="26"/>
    </row>
    <row r="27" spans="1:13" s="2" customFormat="1" ht="31.2">
      <c r="A27" s="18" t="s">
        <v>127</v>
      </c>
      <c r="B27" s="18">
        <v>992</v>
      </c>
      <c r="C27" s="25" t="s">
        <v>108</v>
      </c>
      <c r="D27" s="18" t="s">
        <v>218</v>
      </c>
      <c r="E27" s="18">
        <v>120</v>
      </c>
      <c r="F27" s="26">
        <v>3025000</v>
      </c>
      <c r="G27" s="26">
        <v>4664987.8899999997</v>
      </c>
      <c r="H27" s="26">
        <v>4664987.8899999997</v>
      </c>
      <c r="I27" s="26">
        <f t="shared" si="1"/>
        <v>0</v>
      </c>
      <c r="J27" s="27">
        <f t="shared" si="2"/>
        <v>154.21</v>
      </c>
      <c r="K27" s="26"/>
      <c r="L27" s="26">
        <f t="shared" si="3"/>
        <v>100</v>
      </c>
      <c r="M27" s="26"/>
    </row>
    <row r="28" spans="1:13" s="2" customFormat="1" ht="31.2">
      <c r="A28" s="18" t="s">
        <v>125</v>
      </c>
      <c r="B28" s="18">
        <v>992</v>
      </c>
      <c r="C28" s="25" t="s">
        <v>108</v>
      </c>
      <c r="D28" s="18" t="s">
        <v>218</v>
      </c>
      <c r="E28" s="18">
        <v>240</v>
      </c>
      <c r="F28" s="26">
        <v>0</v>
      </c>
      <c r="G28" s="26">
        <v>98500</v>
      </c>
      <c r="H28" s="26">
        <v>98500</v>
      </c>
      <c r="I28" s="26">
        <f t="shared" si="1"/>
        <v>0</v>
      </c>
      <c r="J28" s="27" t="e">
        <f t="shared" si="2"/>
        <v>#DIV/0!</v>
      </c>
      <c r="K28" s="26"/>
      <c r="L28" s="26">
        <f t="shared" si="3"/>
        <v>100</v>
      </c>
      <c r="M28" s="26"/>
    </row>
    <row r="29" spans="1:13" s="2" customFormat="1" ht="46.8">
      <c r="A29" s="18" t="s">
        <v>109</v>
      </c>
      <c r="B29" s="18">
        <v>992</v>
      </c>
      <c r="C29" s="25" t="s">
        <v>57</v>
      </c>
      <c r="D29" s="18" t="s">
        <v>154</v>
      </c>
      <c r="E29" s="25" t="s">
        <v>27</v>
      </c>
      <c r="F29" s="26">
        <f>F30</f>
        <v>114633000</v>
      </c>
      <c r="G29" s="26">
        <f t="shared" ref="G29:H31" si="14">G30</f>
        <v>139108426.34</v>
      </c>
      <c r="H29" s="26">
        <f t="shared" si="14"/>
        <v>136670038.41999999</v>
      </c>
      <c r="I29" s="26">
        <f t="shared" si="1"/>
        <v>2438387.92</v>
      </c>
      <c r="J29" s="27">
        <f t="shared" si="2"/>
        <v>119.22</v>
      </c>
      <c r="K29" s="26"/>
      <c r="L29" s="26">
        <f t="shared" si="3"/>
        <v>98.25</v>
      </c>
      <c r="M29" s="26"/>
    </row>
    <row r="30" spans="1:13" s="2" customFormat="1" ht="46.8">
      <c r="A30" s="28" t="s">
        <v>358</v>
      </c>
      <c r="B30" s="18">
        <v>992</v>
      </c>
      <c r="C30" s="25" t="s">
        <v>57</v>
      </c>
      <c r="D30" s="18" t="s">
        <v>155</v>
      </c>
      <c r="E30" s="25" t="s">
        <v>27</v>
      </c>
      <c r="F30" s="26">
        <f>F31</f>
        <v>114633000</v>
      </c>
      <c r="G30" s="26">
        <f t="shared" si="14"/>
        <v>139108426.34</v>
      </c>
      <c r="H30" s="26">
        <f t="shared" si="14"/>
        <v>136670038.41999999</v>
      </c>
      <c r="I30" s="26">
        <f t="shared" si="1"/>
        <v>2438387.92</v>
      </c>
      <c r="J30" s="27">
        <f t="shared" si="2"/>
        <v>119.22</v>
      </c>
      <c r="K30" s="26"/>
      <c r="L30" s="26">
        <f t="shared" si="3"/>
        <v>98.25</v>
      </c>
      <c r="M30" s="26"/>
    </row>
    <row r="31" spans="1:13" s="1" customFormat="1" ht="31.2">
      <c r="A31" s="18" t="s">
        <v>356</v>
      </c>
      <c r="B31" s="18">
        <v>992</v>
      </c>
      <c r="C31" s="25" t="s">
        <v>57</v>
      </c>
      <c r="D31" s="18" t="s">
        <v>284</v>
      </c>
      <c r="E31" s="25" t="s">
        <v>27</v>
      </c>
      <c r="F31" s="26">
        <f>F32</f>
        <v>114633000</v>
      </c>
      <c r="G31" s="26">
        <f t="shared" si="14"/>
        <v>139108426.34</v>
      </c>
      <c r="H31" s="26">
        <f t="shared" si="14"/>
        <v>136670038.41999999</v>
      </c>
      <c r="I31" s="26">
        <f t="shared" si="1"/>
        <v>2438387.92</v>
      </c>
      <c r="J31" s="27">
        <f t="shared" si="2"/>
        <v>119.22</v>
      </c>
      <c r="K31" s="26"/>
      <c r="L31" s="26">
        <f t="shared" si="3"/>
        <v>98.25</v>
      </c>
      <c r="M31" s="26"/>
    </row>
    <row r="32" spans="1:13" s="1" customFormat="1" ht="15.6">
      <c r="A32" s="18" t="s">
        <v>357</v>
      </c>
      <c r="B32" s="18">
        <v>992</v>
      </c>
      <c r="C32" s="25" t="s">
        <v>57</v>
      </c>
      <c r="D32" s="18" t="s">
        <v>281</v>
      </c>
      <c r="E32" s="25" t="s">
        <v>27</v>
      </c>
      <c r="F32" s="26">
        <f>F33+F37</f>
        <v>114633000</v>
      </c>
      <c r="G32" s="26">
        <f t="shared" ref="G32:H32" si="15">G33+G37</f>
        <v>139108426.34</v>
      </c>
      <c r="H32" s="26">
        <f t="shared" si="15"/>
        <v>136670038.41999999</v>
      </c>
      <c r="I32" s="26">
        <f t="shared" si="1"/>
        <v>2438387.92</v>
      </c>
      <c r="J32" s="27">
        <f t="shared" si="2"/>
        <v>119.22</v>
      </c>
      <c r="K32" s="26"/>
      <c r="L32" s="26">
        <f t="shared" si="3"/>
        <v>98.25</v>
      </c>
      <c r="M32" s="26"/>
    </row>
    <row r="33" spans="1:13" s="1" customFormat="1" ht="31.2">
      <c r="A33" s="18" t="s">
        <v>100</v>
      </c>
      <c r="B33" s="18">
        <v>992</v>
      </c>
      <c r="C33" s="25" t="s">
        <v>57</v>
      </c>
      <c r="D33" s="18" t="s">
        <v>219</v>
      </c>
      <c r="E33" s="25" t="s">
        <v>27</v>
      </c>
      <c r="F33" s="32">
        <f>F34+F35+F36</f>
        <v>114633000</v>
      </c>
      <c r="G33" s="32">
        <f t="shared" ref="G33:H33" si="16">G34+G35+G36</f>
        <v>137937773.34</v>
      </c>
      <c r="H33" s="32">
        <f t="shared" si="16"/>
        <v>135499385.41999999</v>
      </c>
      <c r="I33" s="32">
        <f t="shared" si="1"/>
        <v>2438387.92</v>
      </c>
      <c r="J33" s="33">
        <f t="shared" si="2"/>
        <v>118.2</v>
      </c>
      <c r="K33" s="32"/>
      <c r="L33" s="32">
        <f t="shared" si="3"/>
        <v>98.23</v>
      </c>
      <c r="M33" s="32"/>
    </row>
    <row r="34" spans="1:13" s="1" customFormat="1" ht="31.2">
      <c r="A34" s="18" t="s">
        <v>127</v>
      </c>
      <c r="B34" s="18">
        <v>992</v>
      </c>
      <c r="C34" s="25" t="s">
        <v>57</v>
      </c>
      <c r="D34" s="18" t="s">
        <v>219</v>
      </c>
      <c r="E34" s="18">
        <v>120</v>
      </c>
      <c r="F34" s="32">
        <v>112162000</v>
      </c>
      <c r="G34" s="32">
        <v>133750334.93000001</v>
      </c>
      <c r="H34" s="32">
        <v>131747655.01000001</v>
      </c>
      <c r="I34" s="32">
        <f t="shared" si="1"/>
        <v>2002679.92</v>
      </c>
      <c r="J34" s="33">
        <f t="shared" si="2"/>
        <v>117.46</v>
      </c>
      <c r="K34" s="32"/>
      <c r="L34" s="32">
        <f t="shared" si="3"/>
        <v>98.5</v>
      </c>
      <c r="M34" s="32"/>
    </row>
    <row r="35" spans="1:13" s="1" customFormat="1" ht="31.2">
      <c r="A35" s="29" t="s">
        <v>125</v>
      </c>
      <c r="B35" s="18">
        <v>992</v>
      </c>
      <c r="C35" s="25" t="s">
        <v>57</v>
      </c>
      <c r="D35" s="18" t="s">
        <v>219</v>
      </c>
      <c r="E35" s="18">
        <v>240</v>
      </c>
      <c r="F35" s="32">
        <v>2340000</v>
      </c>
      <c r="G35" s="32">
        <v>2815981.32</v>
      </c>
      <c r="H35" s="32">
        <v>2414893.54</v>
      </c>
      <c r="I35" s="32">
        <f t="shared" si="1"/>
        <v>401087.78</v>
      </c>
      <c r="J35" s="33">
        <f t="shared" si="2"/>
        <v>103.2</v>
      </c>
      <c r="K35" s="32"/>
      <c r="L35" s="32">
        <f t="shared" si="3"/>
        <v>85.76</v>
      </c>
      <c r="M35" s="32"/>
    </row>
    <row r="36" spans="1:13" s="1" customFormat="1" ht="15.6">
      <c r="A36" s="29" t="s">
        <v>129</v>
      </c>
      <c r="B36" s="18">
        <v>992</v>
      </c>
      <c r="C36" s="25" t="s">
        <v>57</v>
      </c>
      <c r="D36" s="18" t="s">
        <v>219</v>
      </c>
      <c r="E36" s="18">
        <v>850</v>
      </c>
      <c r="F36" s="32">
        <v>131000</v>
      </c>
      <c r="G36" s="32">
        <v>1371457.09</v>
      </c>
      <c r="H36" s="32">
        <v>1336836.8700000001</v>
      </c>
      <c r="I36" s="32">
        <f t="shared" si="1"/>
        <v>34620.22</v>
      </c>
      <c r="J36" s="33">
        <f>$H36/$F36*100</f>
        <v>1020.49</v>
      </c>
      <c r="K36" s="32"/>
      <c r="L36" s="32">
        <f t="shared" si="3"/>
        <v>97.48</v>
      </c>
      <c r="M36" s="32"/>
    </row>
    <row r="37" spans="1:13" s="1" customFormat="1" ht="31.2">
      <c r="A37" s="18" t="s">
        <v>359</v>
      </c>
      <c r="B37" s="18">
        <v>992</v>
      </c>
      <c r="C37" s="25" t="s">
        <v>57</v>
      </c>
      <c r="D37" s="18" t="s">
        <v>222</v>
      </c>
      <c r="E37" s="25" t="s">
        <v>27</v>
      </c>
      <c r="F37" s="32">
        <f>F39+F38</f>
        <v>0</v>
      </c>
      <c r="G37" s="32">
        <f t="shared" ref="G37:H37" si="17">G39+G38</f>
        <v>1170653</v>
      </c>
      <c r="H37" s="32">
        <f t="shared" si="17"/>
        <v>1170653</v>
      </c>
      <c r="I37" s="32">
        <f t="shared" si="1"/>
        <v>0</v>
      </c>
      <c r="J37" s="33" t="e">
        <f t="shared" si="2"/>
        <v>#DIV/0!</v>
      </c>
      <c r="K37" s="32"/>
      <c r="L37" s="32">
        <f t="shared" si="3"/>
        <v>100</v>
      </c>
      <c r="M37" s="32"/>
    </row>
    <row r="38" spans="1:13" s="1" customFormat="1" ht="140.4">
      <c r="A38" s="18" t="s">
        <v>125</v>
      </c>
      <c r="B38" s="18">
        <v>992</v>
      </c>
      <c r="C38" s="25" t="s">
        <v>57</v>
      </c>
      <c r="D38" s="18" t="s">
        <v>222</v>
      </c>
      <c r="E38" s="18">
        <v>240</v>
      </c>
      <c r="F38" s="32">
        <v>0</v>
      </c>
      <c r="G38" s="32">
        <v>390653</v>
      </c>
      <c r="H38" s="32">
        <v>390653</v>
      </c>
      <c r="I38" s="32">
        <f t="shared" si="1"/>
        <v>0</v>
      </c>
      <c r="J38" s="33" t="e">
        <f t="shared" si="2"/>
        <v>#DIV/0!</v>
      </c>
      <c r="K38" s="34" t="s">
        <v>599</v>
      </c>
      <c r="L38" s="32">
        <f t="shared" si="3"/>
        <v>100</v>
      </c>
      <c r="M38" s="34"/>
    </row>
    <row r="39" spans="1:13" s="1" customFormat="1" ht="140.4">
      <c r="A39" s="18" t="s">
        <v>560</v>
      </c>
      <c r="B39" s="18">
        <v>992</v>
      </c>
      <c r="C39" s="25" t="s">
        <v>57</v>
      </c>
      <c r="D39" s="18" t="s">
        <v>222</v>
      </c>
      <c r="E39" s="18">
        <v>360</v>
      </c>
      <c r="F39" s="32">
        <v>0</v>
      </c>
      <c r="G39" s="32">
        <v>780000</v>
      </c>
      <c r="H39" s="32">
        <v>780000</v>
      </c>
      <c r="I39" s="32">
        <f t="shared" si="1"/>
        <v>0</v>
      </c>
      <c r="J39" s="33" t="e">
        <f t="shared" si="2"/>
        <v>#DIV/0!</v>
      </c>
      <c r="K39" s="34" t="s">
        <v>599</v>
      </c>
      <c r="L39" s="32">
        <f t="shared" si="3"/>
        <v>100</v>
      </c>
      <c r="M39" s="34"/>
    </row>
    <row r="40" spans="1:13" s="2" customFormat="1" ht="46.8">
      <c r="A40" s="25" t="s">
        <v>358</v>
      </c>
      <c r="B40" s="18">
        <v>992</v>
      </c>
      <c r="C40" s="25" t="s">
        <v>360</v>
      </c>
      <c r="D40" s="18" t="s">
        <v>155</v>
      </c>
      <c r="E40" s="25" t="s">
        <v>27</v>
      </c>
      <c r="F40" s="26">
        <f>F41</f>
        <v>4848</v>
      </c>
      <c r="G40" s="26">
        <f t="shared" ref="G40:H43" si="18">G41</f>
        <v>17716</v>
      </c>
      <c r="H40" s="26">
        <f t="shared" si="18"/>
        <v>17716</v>
      </c>
      <c r="I40" s="26">
        <f t="shared" si="1"/>
        <v>0</v>
      </c>
      <c r="J40" s="27">
        <f t="shared" si="2"/>
        <v>365.43</v>
      </c>
      <c r="K40" s="26"/>
      <c r="L40" s="26">
        <f t="shared" si="3"/>
        <v>100</v>
      </c>
      <c r="M40" s="26"/>
    </row>
    <row r="41" spans="1:13" s="1" customFormat="1" ht="31.2">
      <c r="A41" s="18" t="s">
        <v>356</v>
      </c>
      <c r="B41" s="18">
        <v>992</v>
      </c>
      <c r="C41" s="25" t="s">
        <v>360</v>
      </c>
      <c r="D41" s="18" t="s">
        <v>284</v>
      </c>
      <c r="E41" s="25" t="s">
        <v>27</v>
      </c>
      <c r="F41" s="26">
        <f>F42</f>
        <v>4848</v>
      </c>
      <c r="G41" s="26">
        <f t="shared" si="18"/>
        <v>17716</v>
      </c>
      <c r="H41" s="26">
        <f t="shared" si="18"/>
        <v>17716</v>
      </c>
      <c r="I41" s="26">
        <f t="shared" si="1"/>
        <v>0</v>
      </c>
      <c r="J41" s="27">
        <f t="shared" si="2"/>
        <v>365.43</v>
      </c>
      <c r="K41" s="26"/>
      <c r="L41" s="26">
        <f t="shared" si="3"/>
        <v>100</v>
      </c>
      <c r="M41" s="26"/>
    </row>
    <row r="42" spans="1:13" s="1" customFormat="1" ht="15.6">
      <c r="A42" s="18" t="s">
        <v>357</v>
      </c>
      <c r="B42" s="18">
        <v>992</v>
      </c>
      <c r="C42" s="25" t="s">
        <v>360</v>
      </c>
      <c r="D42" s="18" t="s">
        <v>281</v>
      </c>
      <c r="E42" s="25" t="s">
        <v>27</v>
      </c>
      <c r="F42" s="26">
        <f>F43</f>
        <v>4848</v>
      </c>
      <c r="G42" s="26">
        <f t="shared" si="18"/>
        <v>17716</v>
      </c>
      <c r="H42" s="26">
        <f t="shared" si="18"/>
        <v>17716</v>
      </c>
      <c r="I42" s="26">
        <f t="shared" si="1"/>
        <v>0</v>
      </c>
      <c r="J42" s="27">
        <f t="shared" si="2"/>
        <v>365.43</v>
      </c>
      <c r="K42" s="26"/>
      <c r="L42" s="26">
        <f t="shared" si="3"/>
        <v>100</v>
      </c>
      <c r="M42" s="26"/>
    </row>
    <row r="43" spans="1:13" s="1" customFormat="1" ht="62.4">
      <c r="A43" s="35" t="s">
        <v>157</v>
      </c>
      <c r="B43" s="18">
        <v>992</v>
      </c>
      <c r="C43" s="25" t="s">
        <v>360</v>
      </c>
      <c r="D43" s="18" t="s">
        <v>361</v>
      </c>
      <c r="E43" s="25" t="s">
        <v>27</v>
      </c>
      <c r="F43" s="26">
        <f>F44</f>
        <v>4848</v>
      </c>
      <c r="G43" s="26">
        <f t="shared" si="18"/>
        <v>17716</v>
      </c>
      <c r="H43" s="26">
        <f t="shared" si="18"/>
        <v>17716</v>
      </c>
      <c r="I43" s="26">
        <f t="shared" si="1"/>
        <v>0</v>
      </c>
      <c r="J43" s="27">
        <f t="shared" si="2"/>
        <v>365.43</v>
      </c>
      <c r="K43" s="26"/>
      <c r="L43" s="26">
        <f t="shared" si="3"/>
        <v>100</v>
      </c>
      <c r="M43" s="26"/>
    </row>
    <row r="44" spans="1:13" s="1" customFormat="1" ht="140.4">
      <c r="A44" s="18" t="s">
        <v>125</v>
      </c>
      <c r="B44" s="18">
        <v>992</v>
      </c>
      <c r="C44" s="25" t="s">
        <v>360</v>
      </c>
      <c r="D44" s="18" t="s">
        <v>361</v>
      </c>
      <c r="E44" s="18">
        <v>240</v>
      </c>
      <c r="F44" s="36">
        <v>4848</v>
      </c>
      <c r="G44" s="36">
        <f t="shared" ref="G44:H44" si="19">4848+12868</f>
        <v>17716</v>
      </c>
      <c r="H44" s="36">
        <f t="shared" si="19"/>
        <v>17716</v>
      </c>
      <c r="I44" s="36">
        <f t="shared" si="1"/>
        <v>0</v>
      </c>
      <c r="J44" s="37">
        <f t="shared" si="2"/>
        <v>365.43</v>
      </c>
      <c r="K44" s="38" t="s">
        <v>598</v>
      </c>
      <c r="L44" s="38">
        <f t="shared" si="3"/>
        <v>100</v>
      </c>
      <c r="M44" s="38"/>
    </row>
    <row r="45" spans="1:13" s="1" customFormat="1" ht="15.6">
      <c r="A45" s="18" t="s">
        <v>31</v>
      </c>
      <c r="B45" s="18">
        <v>992</v>
      </c>
      <c r="C45" s="25" t="s">
        <v>70</v>
      </c>
      <c r="D45" s="18" t="s">
        <v>154</v>
      </c>
      <c r="E45" s="25" t="s">
        <v>27</v>
      </c>
      <c r="F45" s="26">
        <f>F46</f>
        <v>20998956.600000001</v>
      </c>
      <c r="G45" s="26">
        <f t="shared" ref="G45:H49" si="20">G46</f>
        <v>7870475.6399999997</v>
      </c>
      <c r="H45" s="26">
        <f t="shared" si="20"/>
        <v>0</v>
      </c>
      <c r="I45" s="26">
        <f t="shared" si="1"/>
        <v>7870475.6399999997</v>
      </c>
      <c r="J45" s="27">
        <f t="shared" si="2"/>
        <v>0</v>
      </c>
      <c r="K45" s="26"/>
      <c r="L45" s="26">
        <f t="shared" si="3"/>
        <v>0</v>
      </c>
      <c r="M45" s="26"/>
    </row>
    <row r="46" spans="1:13" s="1" customFormat="1" ht="46.8">
      <c r="A46" s="25" t="s">
        <v>358</v>
      </c>
      <c r="B46" s="18">
        <v>992</v>
      </c>
      <c r="C46" s="25" t="s">
        <v>70</v>
      </c>
      <c r="D46" s="18" t="s">
        <v>155</v>
      </c>
      <c r="E46" s="25" t="s">
        <v>27</v>
      </c>
      <c r="F46" s="26">
        <f>F47</f>
        <v>20998956.600000001</v>
      </c>
      <c r="G46" s="26">
        <f t="shared" si="20"/>
        <v>7870475.6399999997</v>
      </c>
      <c r="H46" s="26">
        <f t="shared" si="20"/>
        <v>0</v>
      </c>
      <c r="I46" s="26">
        <f t="shared" si="1"/>
        <v>7870475.6399999997</v>
      </c>
      <c r="J46" s="27">
        <f t="shared" si="2"/>
        <v>0</v>
      </c>
      <c r="K46" s="26"/>
      <c r="L46" s="26">
        <f t="shared" si="3"/>
        <v>0</v>
      </c>
      <c r="M46" s="26"/>
    </row>
    <row r="47" spans="1:13" s="1" customFormat="1" ht="31.2">
      <c r="A47" s="18" t="s">
        <v>356</v>
      </c>
      <c r="B47" s="18">
        <v>992</v>
      </c>
      <c r="C47" s="25" t="s">
        <v>70</v>
      </c>
      <c r="D47" s="18" t="s">
        <v>284</v>
      </c>
      <c r="E47" s="25" t="s">
        <v>27</v>
      </c>
      <c r="F47" s="26">
        <f>F48</f>
        <v>20998956.600000001</v>
      </c>
      <c r="G47" s="26">
        <f t="shared" si="20"/>
        <v>7870475.6399999997</v>
      </c>
      <c r="H47" s="26">
        <f t="shared" si="20"/>
        <v>0</v>
      </c>
      <c r="I47" s="26">
        <f t="shared" si="1"/>
        <v>7870475.6399999997</v>
      </c>
      <c r="J47" s="27">
        <f t="shared" si="2"/>
        <v>0</v>
      </c>
      <c r="K47" s="26"/>
      <c r="L47" s="26">
        <f t="shared" si="3"/>
        <v>0</v>
      </c>
      <c r="M47" s="26"/>
    </row>
    <row r="48" spans="1:13" s="1" customFormat="1" ht="15.6">
      <c r="A48" s="18" t="s">
        <v>357</v>
      </c>
      <c r="B48" s="18">
        <v>992</v>
      </c>
      <c r="C48" s="25" t="s">
        <v>70</v>
      </c>
      <c r="D48" s="18" t="s">
        <v>281</v>
      </c>
      <c r="E48" s="25" t="s">
        <v>27</v>
      </c>
      <c r="F48" s="26">
        <f>F49</f>
        <v>20998956.600000001</v>
      </c>
      <c r="G48" s="26">
        <f t="shared" si="20"/>
        <v>7870475.6399999997</v>
      </c>
      <c r="H48" s="26">
        <f t="shared" si="20"/>
        <v>0</v>
      </c>
      <c r="I48" s="26">
        <f t="shared" si="1"/>
        <v>7870475.6399999997</v>
      </c>
      <c r="J48" s="27">
        <f t="shared" si="2"/>
        <v>0</v>
      </c>
      <c r="K48" s="26"/>
      <c r="L48" s="26">
        <f t="shared" si="3"/>
        <v>0</v>
      </c>
      <c r="M48" s="26"/>
    </row>
    <row r="49" spans="1:13" s="1" customFormat="1" ht="31.2">
      <c r="A49" s="18" t="s">
        <v>359</v>
      </c>
      <c r="B49" s="18">
        <v>992</v>
      </c>
      <c r="C49" s="25" t="s">
        <v>70</v>
      </c>
      <c r="D49" s="18" t="s">
        <v>222</v>
      </c>
      <c r="E49" s="25" t="s">
        <v>27</v>
      </c>
      <c r="F49" s="39">
        <f>F50</f>
        <v>20998956.600000001</v>
      </c>
      <c r="G49" s="39">
        <f t="shared" si="20"/>
        <v>7870475.6399999997</v>
      </c>
      <c r="H49" s="39">
        <f t="shared" si="20"/>
        <v>0</v>
      </c>
      <c r="I49" s="39">
        <f t="shared" si="1"/>
        <v>7870475.6399999997</v>
      </c>
      <c r="J49" s="40">
        <f t="shared" si="2"/>
        <v>0</v>
      </c>
      <c r="K49" s="39"/>
      <c r="L49" s="39">
        <f t="shared" si="3"/>
        <v>0</v>
      </c>
      <c r="M49" s="39"/>
    </row>
    <row r="50" spans="1:13" s="1" customFormat="1" ht="140.4">
      <c r="A50" s="18" t="s">
        <v>87</v>
      </c>
      <c r="B50" s="18">
        <v>992</v>
      </c>
      <c r="C50" s="25" t="s">
        <v>70</v>
      </c>
      <c r="D50" s="18" t="s">
        <v>222</v>
      </c>
      <c r="E50" s="25" t="s">
        <v>88</v>
      </c>
      <c r="F50" s="39">
        <f>20998956.6</f>
        <v>20998956.600000001</v>
      </c>
      <c r="G50" s="39">
        <v>7870475.6399999997</v>
      </c>
      <c r="H50" s="39">
        <v>0</v>
      </c>
      <c r="I50" s="39">
        <f t="shared" si="1"/>
        <v>7870475.6399999997</v>
      </c>
      <c r="J50" s="40">
        <f t="shared" si="2"/>
        <v>0</v>
      </c>
      <c r="K50" s="15" t="s">
        <v>599</v>
      </c>
      <c r="L50" s="39">
        <f t="shared" si="3"/>
        <v>0</v>
      </c>
      <c r="M50" s="15" t="s">
        <v>599</v>
      </c>
    </row>
    <row r="51" spans="1:13" s="1" customFormat="1" ht="31.2">
      <c r="A51" s="18" t="s">
        <v>45</v>
      </c>
      <c r="B51" s="18">
        <v>992</v>
      </c>
      <c r="C51" s="25" t="s">
        <v>71</v>
      </c>
      <c r="D51" s="18" t="s">
        <v>154</v>
      </c>
      <c r="E51" s="25" t="s">
        <v>27</v>
      </c>
      <c r="F51" s="26">
        <f>F52+F63+F77+F72</f>
        <v>13159175</v>
      </c>
      <c r="G51" s="26">
        <f t="shared" ref="G51:H51" si="21">G52+G63+G77+G72</f>
        <v>20142703.989999998</v>
      </c>
      <c r="H51" s="26">
        <f t="shared" si="21"/>
        <v>20044214.260000002</v>
      </c>
      <c r="I51" s="26">
        <f t="shared" si="1"/>
        <v>98489.73</v>
      </c>
      <c r="J51" s="27">
        <f t="shared" si="2"/>
        <v>152.32</v>
      </c>
      <c r="K51" s="26"/>
      <c r="L51" s="26">
        <f t="shared" si="3"/>
        <v>99.51</v>
      </c>
      <c r="M51" s="26"/>
    </row>
    <row r="52" spans="1:13" s="42" customFormat="1" ht="46.8">
      <c r="A52" s="28" t="s">
        <v>399</v>
      </c>
      <c r="B52" s="18">
        <v>992</v>
      </c>
      <c r="C52" s="25" t="s">
        <v>71</v>
      </c>
      <c r="D52" s="41" t="s">
        <v>161</v>
      </c>
      <c r="E52" s="25" t="s">
        <v>27</v>
      </c>
      <c r="F52" s="26">
        <f>F53+F57</f>
        <v>1017979</v>
      </c>
      <c r="G52" s="26">
        <f t="shared" ref="G52:H52" si="22">G53+G57</f>
        <v>2172457.4300000002</v>
      </c>
      <c r="H52" s="26">
        <f t="shared" si="22"/>
        <v>2145457.4300000002</v>
      </c>
      <c r="I52" s="26">
        <f t="shared" si="1"/>
        <v>27000</v>
      </c>
      <c r="J52" s="27">
        <f t="shared" si="2"/>
        <v>210.76</v>
      </c>
      <c r="K52" s="26"/>
      <c r="L52" s="26">
        <f t="shared" si="3"/>
        <v>98.76</v>
      </c>
      <c r="M52" s="26"/>
    </row>
    <row r="53" spans="1:13" s="42" customFormat="1" ht="31.2">
      <c r="A53" s="28" t="s">
        <v>410</v>
      </c>
      <c r="B53" s="18">
        <v>992</v>
      </c>
      <c r="C53" s="25" t="s">
        <v>71</v>
      </c>
      <c r="D53" s="18" t="s">
        <v>162</v>
      </c>
      <c r="E53" s="25" t="s">
        <v>27</v>
      </c>
      <c r="F53" s="43">
        <f>F54</f>
        <v>914479</v>
      </c>
      <c r="G53" s="43">
        <f t="shared" ref="G53:H55" si="23">G54</f>
        <v>2155918.4300000002</v>
      </c>
      <c r="H53" s="43">
        <f t="shared" si="23"/>
        <v>2128918.4300000002</v>
      </c>
      <c r="I53" s="43">
        <f t="shared" si="1"/>
        <v>27000</v>
      </c>
      <c r="J53" s="44">
        <f t="shared" si="2"/>
        <v>232.8</v>
      </c>
      <c r="K53" s="43"/>
      <c r="L53" s="43">
        <f t="shared" si="3"/>
        <v>98.75</v>
      </c>
      <c r="M53" s="43"/>
    </row>
    <row r="54" spans="1:13" s="42" customFormat="1" ht="31.2">
      <c r="A54" s="45" t="s">
        <v>411</v>
      </c>
      <c r="B54" s="18">
        <v>992</v>
      </c>
      <c r="C54" s="25" t="s">
        <v>71</v>
      </c>
      <c r="D54" s="18" t="s">
        <v>412</v>
      </c>
      <c r="E54" s="25" t="s">
        <v>27</v>
      </c>
      <c r="F54" s="39">
        <f>F55</f>
        <v>914479</v>
      </c>
      <c r="G54" s="39">
        <f t="shared" si="23"/>
        <v>2155918.4300000002</v>
      </c>
      <c r="H54" s="39">
        <f t="shared" si="23"/>
        <v>2128918.4300000002</v>
      </c>
      <c r="I54" s="39">
        <f t="shared" si="1"/>
        <v>27000</v>
      </c>
      <c r="J54" s="40">
        <f t="shared" si="2"/>
        <v>232.8</v>
      </c>
      <c r="K54" s="39"/>
      <c r="L54" s="39">
        <f t="shared" si="3"/>
        <v>98.75</v>
      </c>
      <c r="M54" s="39"/>
    </row>
    <row r="55" spans="1:13" s="2" customFormat="1" ht="31.2">
      <c r="A55" s="29" t="s">
        <v>413</v>
      </c>
      <c r="B55" s="18">
        <v>992</v>
      </c>
      <c r="C55" s="25" t="s">
        <v>71</v>
      </c>
      <c r="D55" s="18" t="s">
        <v>414</v>
      </c>
      <c r="E55" s="25" t="s">
        <v>27</v>
      </c>
      <c r="F55" s="39">
        <f>F56</f>
        <v>914479</v>
      </c>
      <c r="G55" s="39">
        <f t="shared" si="23"/>
        <v>2155918.4300000002</v>
      </c>
      <c r="H55" s="39">
        <f t="shared" si="23"/>
        <v>2128918.4300000002</v>
      </c>
      <c r="I55" s="39">
        <f t="shared" si="1"/>
        <v>27000</v>
      </c>
      <c r="J55" s="40">
        <f t="shared" si="2"/>
        <v>232.8</v>
      </c>
      <c r="K55" s="39"/>
      <c r="L55" s="39">
        <f t="shared" si="3"/>
        <v>98.75</v>
      </c>
      <c r="M55" s="39"/>
    </row>
    <row r="56" spans="1:13" s="2" customFormat="1" ht="31.2">
      <c r="A56" s="29" t="s">
        <v>125</v>
      </c>
      <c r="B56" s="18">
        <v>992</v>
      </c>
      <c r="C56" s="25" t="s">
        <v>71</v>
      </c>
      <c r="D56" s="18" t="s">
        <v>414</v>
      </c>
      <c r="E56" s="25" t="s">
        <v>126</v>
      </c>
      <c r="F56" s="39">
        <f>914479</f>
        <v>914479</v>
      </c>
      <c r="G56" s="39">
        <f t="shared" ref="G56" si="24">914479+1241500-60.57</f>
        <v>2155918.4300000002</v>
      </c>
      <c r="H56" s="39">
        <v>2128918.4300000002</v>
      </c>
      <c r="I56" s="39">
        <f t="shared" si="1"/>
        <v>27000</v>
      </c>
      <c r="J56" s="40">
        <f t="shared" si="2"/>
        <v>232.8</v>
      </c>
      <c r="K56" s="39"/>
      <c r="L56" s="39">
        <f t="shared" si="3"/>
        <v>98.75</v>
      </c>
      <c r="M56" s="39"/>
    </row>
    <row r="57" spans="1:13" s="1" customFormat="1" ht="15.6">
      <c r="A57" s="45" t="s">
        <v>400</v>
      </c>
      <c r="B57" s="18">
        <v>992</v>
      </c>
      <c r="C57" s="25" t="s">
        <v>71</v>
      </c>
      <c r="D57" s="18" t="s">
        <v>163</v>
      </c>
      <c r="E57" s="25" t="s">
        <v>27</v>
      </c>
      <c r="F57" s="39">
        <f>F58</f>
        <v>103500</v>
      </c>
      <c r="G57" s="39">
        <f t="shared" ref="G57:H57" si="25">G58</f>
        <v>16539</v>
      </c>
      <c r="H57" s="39">
        <f t="shared" si="25"/>
        <v>16539</v>
      </c>
      <c r="I57" s="39">
        <f t="shared" si="1"/>
        <v>0</v>
      </c>
      <c r="J57" s="40">
        <f t="shared" si="2"/>
        <v>15.98</v>
      </c>
      <c r="K57" s="39"/>
      <c r="L57" s="39">
        <f t="shared" si="3"/>
        <v>100</v>
      </c>
      <c r="M57" s="39"/>
    </row>
    <row r="58" spans="1:13" s="1" customFormat="1" ht="31.2">
      <c r="A58" s="45" t="s">
        <v>402</v>
      </c>
      <c r="B58" s="18">
        <v>992</v>
      </c>
      <c r="C58" s="25" t="s">
        <v>71</v>
      </c>
      <c r="D58" s="18" t="s">
        <v>401</v>
      </c>
      <c r="E58" s="25" t="s">
        <v>27</v>
      </c>
      <c r="F58" s="39">
        <f>F59+F61</f>
        <v>103500</v>
      </c>
      <c r="G58" s="39">
        <f t="shared" ref="G58:H58" si="26">G59+G61</f>
        <v>16539</v>
      </c>
      <c r="H58" s="39">
        <f t="shared" si="26"/>
        <v>16539</v>
      </c>
      <c r="I58" s="39">
        <f t="shared" si="1"/>
        <v>0</v>
      </c>
      <c r="J58" s="40">
        <f t="shared" si="2"/>
        <v>15.98</v>
      </c>
      <c r="K58" s="39"/>
      <c r="L58" s="39">
        <f t="shared" si="3"/>
        <v>100</v>
      </c>
      <c r="M58" s="39"/>
    </row>
    <row r="59" spans="1:13" s="2" customFormat="1" ht="93.6">
      <c r="A59" s="29" t="s">
        <v>418</v>
      </c>
      <c r="B59" s="18">
        <v>992</v>
      </c>
      <c r="C59" s="25" t="s">
        <v>71</v>
      </c>
      <c r="D59" s="18" t="s">
        <v>417</v>
      </c>
      <c r="E59" s="25" t="s">
        <v>27</v>
      </c>
      <c r="F59" s="39">
        <f>F60</f>
        <v>3500</v>
      </c>
      <c r="G59" s="39">
        <f t="shared" ref="G59:H59" si="27">G60</f>
        <v>0</v>
      </c>
      <c r="H59" s="39">
        <f t="shared" si="27"/>
        <v>0</v>
      </c>
      <c r="I59" s="39">
        <f t="shared" si="1"/>
        <v>0</v>
      </c>
      <c r="J59" s="40">
        <f t="shared" si="2"/>
        <v>0</v>
      </c>
      <c r="K59" s="39"/>
      <c r="L59" s="39" t="e">
        <f t="shared" si="3"/>
        <v>#DIV/0!</v>
      </c>
      <c r="M59" s="39"/>
    </row>
    <row r="60" spans="1:13" s="2" customFormat="1" ht="31.2">
      <c r="A60" s="29" t="s">
        <v>125</v>
      </c>
      <c r="B60" s="18">
        <v>992</v>
      </c>
      <c r="C60" s="25" t="s">
        <v>71</v>
      </c>
      <c r="D60" s="18" t="s">
        <v>417</v>
      </c>
      <c r="E60" s="25" t="s">
        <v>126</v>
      </c>
      <c r="F60" s="39">
        <f>3500</f>
        <v>3500</v>
      </c>
      <c r="G60" s="39">
        <f t="shared" ref="G60:H60" si="28">3500-3500</f>
        <v>0</v>
      </c>
      <c r="H60" s="39">
        <f t="shared" si="28"/>
        <v>0</v>
      </c>
      <c r="I60" s="39">
        <f t="shared" si="1"/>
        <v>0</v>
      </c>
      <c r="J60" s="40">
        <f t="shared" si="2"/>
        <v>0</v>
      </c>
      <c r="K60" s="39"/>
      <c r="L60" s="39" t="e">
        <f t="shared" si="3"/>
        <v>#DIV/0!</v>
      </c>
      <c r="M60" s="39"/>
    </row>
    <row r="61" spans="1:13" s="2" customFormat="1" ht="46.8">
      <c r="A61" s="29" t="s">
        <v>415</v>
      </c>
      <c r="B61" s="18">
        <v>992</v>
      </c>
      <c r="C61" s="25" t="s">
        <v>71</v>
      </c>
      <c r="D61" s="18" t="s">
        <v>416</v>
      </c>
      <c r="E61" s="25" t="s">
        <v>27</v>
      </c>
      <c r="F61" s="39">
        <f>F62</f>
        <v>100000</v>
      </c>
      <c r="G61" s="39">
        <f t="shared" ref="G61:H61" si="29">G62</f>
        <v>16539</v>
      </c>
      <c r="H61" s="39">
        <f t="shared" si="29"/>
        <v>16539</v>
      </c>
      <c r="I61" s="39">
        <f t="shared" si="1"/>
        <v>0</v>
      </c>
      <c r="J61" s="40">
        <f t="shared" si="2"/>
        <v>16.54</v>
      </c>
      <c r="K61" s="39"/>
      <c r="L61" s="39">
        <f t="shared" si="3"/>
        <v>100</v>
      </c>
      <c r="M61" s="39"/>
    </row>
    <row r="62" spans="1:13" s="2" customFormat="1" ht="31.2">
      <c r="A62" s="29" t="s">
        <v>125</v>
      </c>
      <c r="B62" s="18">
        <v>992</v>
      </c>
      <c r="C62" s="25" t="s">
        <v>71</v>
      </c>
      <c r="D62" s="18" t="s">
        <v>416</v>
      </c>
      <c r="E62" s="25" t="s">
        <v>126</v>
      </c>
      <c r="F62" s="39">
        <f>100000</f>
        <v>100000</v>
      </c>
      <c r="G62" s="39">
        <f t="shared" ref="G62:H62" si="30">100000-83461</f>
        <v>16539</v>
      </c>
      <c r="H62" s="39">
        <f t="shared" si="30"/>
        <v>16539</v>
      </c>
      <c r="I62" s="39">
        <f t="shared" si="1"/>
        <v>0</v>
      </c>
      <c r="J62" s="40">
        <f t="shared" si="2"/>
        <v>16.54</v>
      </c>
      <c r="K62" s="39"/>
      <c r="L62" s="39">
        <f t="shared" si="3"/>
        <v>100</v>
      </c>
      <c r="M62" s="39"/>
    </row>
    <row r="63" spans="1:13" s="2" customFormat="1" ht="46.8">
      <c r="A63" s="16" t="s">
        <v>419</v>
      </c>
      <c r="B63" s="18">
        <v>992</v>
      </c>
      <c r="C63" s="25" t="s">
        <v>71</v>
      </c>
      <c r="D63" s="18" t="s">
        <v>156</v>
      </c>
      <c r="E63" s="25" t="s">
        <v>27</v>
      </c>
      <c r="F63" s="26">
        <f t="shared" ref="F63:H63" si="31">F64</f>
        <v>164000</v>
      </c>
      <c r="G63" s="26">
        <f t="shared" si="31"/>
        <v>164000</v>
      </c>
      <c r="H63" s="26">
        <f t="shared" si="31"/>
        <v>164000</v>
      </c>
      <c r="I63" s="26">
        <f t="shared" si="1"/>
        <v>0</v>
      </c>
      <c r="J63" s="27">
        <f t="shared" si="2"/>
        <v>100</v>
      </c>
      <c r="K63" s="26"/>
      <c r="L63" s="26">
        <f t="shared" si="3"/>
        <v>100</v>
      </c>
      <c r="M63" s="26"/>
    </row>
    <row r="64" spans="1:13" s="2" customFormat="1" ht="78">
      <c r="A64" s="16" t="s">
        <v>420</v>
      </c>
      <c r="B64" s="18">
        <v>992</v>
      </c>
      <c r="C64" s="25" t="s">
        <v>71</v>
      </c>
      <c r="D64" s="18" t="s">
        <v>164</v>
      </c>
      <c r="E64" s="25" t="s">
        <v>27</v>
      </c>
      <c r="F64" s="26">
        <f>F65+F70</f>
        <v>164000</v>
      </c>
      <c r="G64" s="26">
        <f t="shared" ref="G64:H64" si="32">G65+G70</f>
        <v>164000</v>
      </c>
      <c r="H64" s="26">
        <f t="shared" si="32"/>
        <v>164000</v>
      </c>
      <c r="I64" s="26">
        <f t="shared" si="1"/>
        <v>0</v>
      </c>
      <c r="J64" s="27">
        <f t="shared" si="2"/>
        <v>100</v>
      </c>
      <c r="K64" s="26"/>
      <c r="L64" s="26">
        <f t="shared" si="3"/>
        <v>100</v>
      </c>
      <c r="M64" s="26"/>
    </row>
    <row r="65" spans="1:13" s="2" customFormat="1" ht="46.8">
      <c r="A65" s="46" t="s">
        <v>421</v>
      </c>
      <c r="B65" s="18">
        <v>992</v>
      </c>
      <c r="C65" s="25" t="s">
        <v>71</v>
      </c>
      <c r="D65" s="47" t="s">
        <v>423</v>
      </c>
      <c r="E65" s="25" t="s">
        <v>27</v>
      </c>
      <c r="F65" s="39">
        <f>F67</f>
        <v>124000</v>
      </c>
      <c r="G65" s="39">
        <f t="shared" ref="G65:H65" si="33">G67</f>
        <v>124000</v>
      </c>
      <c r="H65" s="39">
        <f t="shared" si="33"/>
        <v>124000</v>
      </c>
      <c r="I65" s="39">
        <f t="shared" si="1"/>
        <v>0</v>
      </c>
      <c r="J65" s="40">
        <f t="shared" si="2"/>
        <v>100</v>
      </c>
      <c r="K65" s="39"/>
      <c r="L65" s="39">
        <f t="shared" si="3"/>
        <v>100</v>
      </c>
      <c r="M65" s="39"/>
    </row>
    <row r="66" spans="1:13" s="2" customFormat="1" ht="62.4">
      <c r="A66" s="46" t="s">
        <v>424</v>
      </c>
      <c r="B66" s="18">
        <v>992</v>
      </c>
      <c r="C66" s="25" t="s">
        <v>71</v>
      </c>
      <c r="D66" s="47" t="s">
        <v>422</v>
      </c>
      <c r="E66" s="25" t="s">
        <v>27</v>
      </c>
      <c r="F66" s="39">
        <f>F67</f>
        <v>124000</v>
      </c>
      <c r="G66" s="39">
        <f t="shared" ref="G66:H66" si="34">G67</f>
        <v>124000</v>
      </c>
      <c r="H66" s="39">
        <f t="shared" si="34"/>
        <v>124000</v>
      </c>
      <c r="I66" s="39">
        <f t="shared" si="1"/>
        <v>0</v>
      </c>
      <c r="J66" s="40">
        <f t="shared" si="2"/>
        <v>100</v>
      </c>
      <c r="K66" s="39"/>
      <c r="L66" s="39">
        <f t="shared" si="3"/>
        <v>100</v>
      </c>
      <c r="M66" s="39"/>
    </row>
    <row r="67" spans="1:13" s="2" customFormat="1" ht="31.2">
      <c r="A67" s="29" t="s">
        <v>125</v>
      </c>
      <c r="B67" s="18">
        <v>992</v>
      </c>
      <c r="C67" s="25" t="s">
        <v>71</v>
      </c>
      <c r="D67" s="47" t="s">
        <v>422</v>
      </c>
      <c r="E67" s="25" t="s">
        <v>126</v>
      </c>
      <c r="F67" s="39">
        <v>124000</v>
      </c>
      <c r="G67" s="39">
        <v>124000</v>
      </c>
      <c r="H67" s="39">
        <v>124000</v>
      </c>
      <c r="I67" s="39">
        <f t="shared" si="1"/>
        <v>0</v>
      </c>
      <c r="J67" s="40">
        <f t="shared" si="2"/>
        <v>100</v>
      </c>
      <c r="K67" s="39"/>
      <c r="L67" s="39">
        <f t="shared" si="3"/>
        <v>100</v>
      </c>
      <c r="M67" s="39"/>
    </row>
    <row r="68" spans="1:13" s="2" customFormat="1" ht="78">
      <c r="A68" s="16" t="s">
        <v>420</v>
      </c>
      <c r="B68" s="18">
        <v>992</v>
      </c>
      <c r="C68" s="25" t="s">
        <v>71</v>
      </c>
      <c r="D68" s="18" t="s">
        <v>164</v>
      </c>
      <c r="E68" s="25" t="s">
        <v>27</v>
      </c>
      <c r="F68" s="26">
        <f>F70+F79</f>
        <v>12017196</v>
      </c>
      <c r="G68" s="26">
        <f t="shared" ref="G68:H68" si="35">G70+G79</f>
        <v>17823836.559999999</v>
      </c>
      <c r="H68" s="26">
        <f t="shared" si="35"/>
        <v>17752346.829999998</v>
      </c>
      <c r="I68" s="26">
        <f t="shared" si="1"/>
        <v>71489.73</v>
      </c>
      <c r="J68" s="27">
        <f t="shared" si="2"/>
        <v>147.72</v>
      </c>
      <c r="K68" s="26"/>
      <c r="L68" s="26">
        <f t="shared" si="3"/>
        <v>99.6</v>
      </c>
      <c r="M68" s="26"/>
    </row>
    <row r="69" spans="1:13" s="2" customFormat="1" ht="62.4">
      <c r="A69" s="46" t="s">
        <v>426</v>
      </c>
      <c r="B69" s="18">
        <v>992</v>
      </c>
      <c r="C69" s="25" t="s">
        <v>71</v>
      </c>
      <c r="D69" s="47" t="s">
        <v>425</v>
      </c>
      <c r="E69" s="25" t="s">
        <v>27</v>
      </c>
      <c r="F69" s="39">
        <f>F71</f>
        <v>40000</v>
      </c>
      <c r="G69" s="39">
        <f t="shared" ref="G69:H69" si="36">G71</f>
        <v>40000</v>
      </c>
      <c r="H69" s="39">
        <f t="shared" si="36"/>
        <v>40000</v>
      </c>
      <c r="I69" s="39">
        <f t="shared" si="1"/>
        <v>0</v>
      </c>
      <c r="J69" s="40">
        <f t="shared" si="2"/>
        <v>100</v>
      </c>
      <c r="K69" s="39"/>
      <c r="L69" s="39">
        <f t="shared" si="3"/>
        <v>100</v>
      </c>
      <c r="M69" s="39"/>
    </row>
    <row r="70" spans="1:13" s="2" customFormat="1" ht="31.2">
      <c r="A70" s="46" t="s">
        <v>120</v>
      </c>
      <c r="B70" s="18">
        <v>992</v>
      </c>
      <c r="C70" s="25" t="s">
        <v>71</v>
      </c>
      <c r="D70" s="47" t="s">
        <v>165</v>
      </c>
      <c r="E70" s="25" t="s">
        <v>27</v>
      </c>
      <c r="F70" s="39">
        <f>F71</f>
        <v>40000</v>
      </c>
      <c r="G70" s="39">
        <f t="shared" ref="G70:H70" si="37">G71</f>
        <v>40000</v>
      </c>
      <c r="H70" s="39">
        <f t="shared" si="37"/>
        <v>40000</v>
      </c>
      <c r="I70" s="39">
        <f t="shared" si="1"/>
        <v>0</v>
      </c>
      <c r="J70" s="40">
        <f t="shared" si="2"/>
        <v>100</v>
      </c>
      <c r="K70" s="39"/>
      <c r="L70" s="39">
        <f t="shared" si="3"/>
        <v>100</v>
      </c>
      <c r="M70" s="39"/>
    </row>
    <row r="71" spans="1:13" s="2" customFormat="1" ht="31.2">
      <c r="A71" s="29" t="s">
        <v>125</v>
      </c>
      <c r="B71" s="18">
        <v>992</v>
      </c>
      <c r="C71" s="25" t="s">
        <v>71</v>
      </c>
      <c r="D71" s="47" t="s">
        <v>165</v>
      </c>
      <c r="E71" s="25" t="s">
        <v>126</v>
      </c>
      <c r="F71" s="39">
        <v>40000</v>
      </c>
      <c r="G71" s="39">
        <v>40000</v>
      </c>
      <c r="H71" s="39">
        <v>40000</v>
      </c>
      <c r="I71" s="39">
        <f t="shared" si="1"/>
        <v>0</v>
      </c>
      <c r="J71" s="40">
        <f t="shared" si="2"/>
        <v>100</v>
      </c>
      <c r="K71" s="39"/>
      <c r="L71" s="39">
        <f t="shared" si="3"/>
        <v>100</v>
      </c>
      <c r="M71" s="39"/>
    </row>
    <row r="72" spans="1:13" s="2" customFormat="1" ht="46.8">
      <c r="A72" s="16" t="s">
        <v>580</v>
      </c>
      <c r="B72" s="18">
        <v>992</v>
      </c>
      <c r="C72" s="25" t="s">
        <v>71</v>
      </c>
      <c r="D72" s="18" t="s">
        <v>586</v>
      </c>
      <c r="E72" s="25" t="s">
        <v>27</v>
      </c>
      <c r="F72" s="26">
        <f>F73</f>
        <v>0</v>
      </c>
      <c r="G72" s="26">
        <f t="shared" ref="G72:H73" si="38">G73</f>
        <v>22410</v>
      </c>
      <c r="H72" s="26">
        <f t="shared" si="38"/>
        <v>22410</v>
      </c>
      <c r="I72" s="26">
        <f t="shared" si="1"/>
        <v>0</v>
      </c>
      <c r="J72" s="27" t="e">
        <f t="shared" si="2"/>
        <v>#DIV/0!</v>
      </c>
      <c r="K72" s="26"/>
      <c r="L72" s="26">
        <f t="shared" si="3"/>
        <v>100</v>
      </c>
      <c r="M72" s="26"/>
    </row>
    <row r="73" spans="1:13" s="2" customFormat="1" ht="46.8">
      <c r="A73" s="16" t="s">
        <v>581</v>
      </c>
      <c r="B73" s="18">
        <v>992</v>
      </c>
      <c r="C73" s="25" t="s">
        <v>71</v>
      </c>
      <c r="D73" s="18" t="s">
        <v>578</v>
      </c>
      <c r="E73" s="25" t="s">
        <v>27</v>
      </c>
      <c r="F73" s="26">
        <f>F74</f>
        <v>0</v>
      </c>
      <c r="G73" s="26">
        <f t="shared" si="38"/>
        <v>22410</v>
      </c>
      <c r="H73" s="26">
        <f t="shared" si="38"/>
        <v>22410</v>
      </c>
      <c r="I73" s="26">
        <f t="shared" si="1"/>
        <v>0</v>
      </c>
      <c r="J73" s="27" t="e">
        <f t="shared" si="2"/>
        <v>#DIV/0!</v>
      </c>
      <c r="K73" s="26"/>
      <c r="L73" s="26">
        <f t="shared" si="3"/>
        <v>100</v>
      </c>
      <c r="M73" s="26"/>
    </row>
    <row r="74" spans="1:13" s="2" customFormat="1" ht="78">
      <c r="A74" s="46" t="s">
        <v>583</v>
      </c>
      <c r="B74" s="18">
        <v>992</v>
      </c>
      <c r="C74" s="25" t="s">
        <v>71</v>
      </c>
      <c r="D74" s="18" t="s">
        <v>579</v>
      </c>
      <c r="E74" s="25" t="s">
        <v>27</v>
      </c>
      <c r="F74" s="39">
        <f>F76</f>
        <v>0</v>
      </c>
      <c r="G74" s="39">
        <f t="shared" ref="G74:H74" si="39">G76</f>
        <v>22410</v>
      </c>
      <c r="H74" s="39">
        <f t="shared" si="39"/>
        <v>22410</v>
      </c>
      <c r="I74" s="39">
        <f t="shared" ref="I74:I137" si="40">$G74-$H74</f>
        <v>0</v>
      </c>
      <c r="J74" s="40" t="e">
        <f t="shared" ref="J74:J137" si="41">$H74/$F74*100</f>
        <v>#DIV/0!</v>
      </c>
      <c r="K74" s="39"/>
      <c r="L74" s="39">
        <f t="shared" ref="L74:L137" si="42">$H74/$G74*100</f>
        <v>100</v>
      </c>
      <c r="M74" s="39"/>
    </row>
    <row r="75" spans="1:13" s="2" customFormat="1" ht="62.4">
      <c r="A75" s="46" t="s">
        <v>582</v>
      </c>
      <c r="B75" s="18">
        <v>992</v>
      </c>
      <c r="C75" s="25" t="s">
        <v>71</v>
      </c>
      <c r="D75" s="18" t="s">
        <v>577</v>
      </c>
      <c r="E75" s="25" t="s">
        <v>27</v>
      </c>
      <c r="F75" s="39">
        <f>F76</f>
        <v>0</v>
      </c>
      <c r="G75" s="39">
        <f t="shared" ref="G75:H75" si="43">G76</f>
        <v>22410</v>
      </c>
      <c r="H75" s="39">
        <f t="shared" si="43"/>
        <v>22410</v>
      </c>
      <c r="I75" s="39">
        <f t="shared" si="40"/>
        <v>0</v>
      </c>
      <c r="J75" s="40" t="e">
        <f t="shared" si="41"/>
        <v>#DIV/0!</v>
      </c>
      <c r="K75" s="39"/>
      <c r="L75" s="39">
        <f t="shared" si="42"/>
        <v>100</v>
      </c>
      <c r="M75" s="39"/>
    </row>
    <row r="76" spans="1:13" s="2" customFormat="1" ht="31.2">
      <c r="A76" s="29" t="s">
        <v>125</v>
      </c>
      <c r="B76" s="18">
        <v>992</v>
      </c>
      <c r="C76" s="25" t="s">
        <v>71</v>
      </c>
      <c r="D76" s="18" t="s">
        <v>577</v>
      </c>
      <c r="E76" s="25" t="s">
        <v>126</v>
      </c>
      <c r="F76" s="39">
        <v>0</v>
      </c>
      <c r="G76" s="39">
        <v>22410</v>
      </c>
      <c r="H76" s="39">
        <v>22410</v>
      </c>
      <c r="I76" s="39">
        <f t="shared" si="40"/>
        <v>0</v>
      </c>
      <c r="J76" s="40" t="e">
        <f t="shared" si="41"/>
        <v>#DIV/0!</v>
      </c>
      <c r="K76" s="39"/>
      <c r="L76" s="39">
        <f t="shared" si="42"/>
        <v>100</v>
      </c>
      <c r="M76" s="39"/>
    </row>
    <row r="77" spans="1:13" s="2" customFormat="1" ht="46.8">
      <c r="A77" s="25" t="s">
        <v>358</v>
      </c>
      <c r="B77" s="18">
        <v>992</v>
      </c>
      <c r="C77" s="25" t="s">
        <v>71</v>
      </c>
      <c r="D77" s="18" t="s">
        <v>155</v>
      </c>
      <c r="E77" s="25" t="s">
        <v>27</v>
      </c>
      <c r="F77" s="26">
        <f>F78</f>
        <v>11977196</v>
      </c>
      <c r="G77" s="26">
        <f t="shared" ref="G77:H78" si="44">G78</f>
        <v>17783836.559999999</v>
      </c>
      <c r="H77" s="26">
        <f t="shared" si="44"/>
        <v>17712346.829999998</v>
      </c>
      <c r="I77" s="26">
        <f t="shared" si="40"/>
        <v>71489.73</v>
      </c>
      <c r="J77" s="27">
        <f t="shared" si="41"/>
        <v>147.88</v>
      </c>
      <c r="K77" s="26"/>
      <c r="L77" s="26">
        <f t="shared" si="42"/>
        <v>99.6</v>
      </c>
      <c r="M77" s="26"/>
    </row>
    <row r="78" spans="1:13" s="1" customFormat="1" ht="31.2">
      <c r="A78" s="18" t="s">
        <v>356</v>
      </c>
      <c r="B78" s="18">
        <v>992</v>
      </c>
      <c r="C78" s="25" t="s">
        <v>71</v>
      </c>
      <c r="D78" s="18" t="s">
        <v>284</v>
      </c>
      <c r="E78" s="25" t="s">
        <v>27</v>
      </c>
      <c r="F78" s="26">
        <f>F79</f>
        <v>11977196</v>
      </c>
      <c r="G78" s="26">
        <f t="shared" si="44"/>
        <v>17783836.559999999</v>
      </c>
      <c r="H78" s="26">
        <f t="shared" si="44"/>
        <v>17712346.829999998</v>
      </c>
      <c r="I78" s="26">
        <f t="shared" si="40"/>
        <v>71489.73</v>
      </c>
      <c r="J78" s="27">
        <f t="shared" si="41"/>
        <v>147.88</v>
      </c>
      <c r="K78" s="26"/>
      <c r="L78" s="26">
        <f t="shared" si="42"/>
        <v>99.6</v>
      </c>
      <c r="M78" s="26"/>
    </row>
    <row r="79" spans="1:13" s="1" customFormat="1" ht="15.6">
      <c r="A79" s="18" t="s">
        <v>357</v>
      </c>
      <c r="B79" s="18">
        <v>992</v>
      </c>
      <c r="C79" s="25" t="s">
        <v>71</v>
      </c>
      <c r="D79" s="18" t="s">
        <v>281</v>
      </c>
      <c r="E79" s="25" t="s">
        <v>27</v>
      </c>
      <c r="F79" s="26">
        <f>F84+F87+F90+F93+F80+F96+F98+F101+F82+F104</f>
        <v>11977196</v>
      </c>
      <c r="G79" s="26">
        <f t="shared" ref="G79:H79" si="45">G84+G87+G90+G93+G80+G96+G98+G101+G82+G104</f>
        <v>17783836.559999999</v>
      </c>
      <c r="H79" s="26">
        <f t="shared" si="45"/>
        <v>17712346.829999998</v>
      </c>
      <c r="I79" s="26">
        <f t="shared" si="40"/>
        <v>71489.73</v>
      </c>
      <c r="J79" s="27">
        <f t="shared" si="41"/>
        <v>147.88</v>
      </c>
      <c r="K79" s="26"/>
      <c r="L79" s="26">
        <f t="shared" si="42"/>
        <v>99.6</v>
      </c>
      <c r="M79" s="26"/>
    </row>
    <row r="80" spans="1:13" s="2" customFormat="1" ht="31.2">
      <c r="A80" s="18" t="s">
        <v>86</v>
      </c>
      <c r="B80" s="18">
        <v>992</v>
      </c>
      <c r="C80" s="25" t="s">
        <v>71</v>
      </c>
      <c r="D80" s="18" t="s">
        <v>223</v>
      </c>
      <c r="E80" s="48" t="s">
        <v>27</v>
      </c>
      <c r="F80" s="26">
        <f t="shared" ref="F80:H80" si="46">F81</f>
        <v>100000</v>
      </c>
      <c r="G80" s="26">
        <f t="shared" si="46"/>
        <v>544621.6</v>
      </c>
      <c r="H80" s="26">
        <f t="shared" si="46"/>
        <v>494627.52</v>
      </c>
      <c r="I80" s="26">
        <f t="shared" si="40"/>
        <v>49994.080000000002</v>
      </c>
      <c r="J80" s="27">
        <f t="shared" si="41"/>
        <v>494.63</v>
      </c>
      <c r="K80" s="26"/>
      <c r="L80" s="26">
        <f t="shared" si="42"/>
        <v>90.82</v>
      </c>
      <c r="M80" s="26"/>
    </row>
    <row r="81" spans="1:13" s="1" customFormat="1" ht="15.6">
      <c r="A81" s="18" t="s">
        <v>130</v>
      </c>
      <c r="B81" s="18">
        <v>992</v>
      </c>
      <c r="C81" s="25" t="s">
        <v>71</v>
      </c>
      <c r="D81" s="18" t="s">
        <v>223</v>
      </c>
      <c r="E81" s="48" t="s">
        <v>131</v>
      </c>
      <c r="F81" s="39">
        <f>100000</f>
        <v>100000</v>
      </c>
      <c r="G81" s="39">
        <f t="shared" ref="G81" si="47">100000+68828.92+57092.68+262700+56000</f>
        <v>544621.6</v>
      </c>
      <c r="H81" s="39">
        <v>494627.52</v>
      </c>
      <c r="I81" s="39">
        <f t="shared" si="40"/>
        <v>49994.080000000002</v>
      </c>
      <c r="J81" s="40">
        <f t="shared" si="41"/>
        <v>494.63</v>
      </c>
      <c r="K81" s="39"/>
      <c r="L81" s="39">
        <f t="shared" si="42"/>
        <v>90.82</v>
      </c>
      <c r="M81" s="39"/>
    </row>
    <row r="82" spans="1:13" s="1" customFormat="1" ht="46.8">
      <c r="A82" s="29" t="s">
        <v>487</v>
      </c>
      <c r="B82" s="18">
        <v>992</v>
      </c>
      <c r="C82" s="25" t="s">
        <v>71</v>
      </c>
      <c r="D82" s="18" t="s">
        <v>514</v>
      </c>
      <c r="E82" s="48" t="s">
        <v>27</v>
      </c>
      <c r="F82" s="39">
        <f>F83</f>
        <v>150000</v>
      </c>
      <c r="G82" s="39">
        <f t="shared" ref="G82:H82" si="48">G83</f>
        <v>750000</v>
      </c>
      <c r="H82" s="39">
        <f t="shared" si="48"/>
        <v>728504.35</v>
      </c>
      <c r="I82" s="39">
        <f t="shared" si="40"/>
        <v>21495.65</v>
      </c>
      <c r="J82" s="40">
        <f t="shared" si="41"/>
        <v>485.67</v>
      </c>
      <c r="K82" s="39"/>
      <c r="L82" s="39">
        <f t="shared" si="42"/>
        <v>97.13</v>
      </c>
      <c r="M82" s="39"/>
    </row>
    <row r="83" spans="1:13" s="1" customFormat="1" ht="31.2">
      <c r="A83" s="29" t="s">
        <v>125</v>
      </c>
      <c r="B83" s="18">
        <v>992</v>
      </c>
      <c r="C83" s="25" t="s">
        <v>71</v>
      </c>
      <c r="D83" s="18" t="s">
        <v>514</v>
      </c>
      <c r="E83" s="48" t="s">
        <v>126</v>
      </c>
      <c r="F83" s="39">
        <f>150000</f>
        <v>150000</v>
      </c>
      <c r="G83" s="39">
        <f t="shared" ref="G83" si="49">150000+300000+300000</f>
        <v>750000</v>
      </c>
      <c r="H83" s="39">
        <v>728504.35</v>
      </c>
      <c r="I83" s="39">
        <f t="shared" si="40"/>
        <v>21495.65</v>
      </c>
      <c r="J83" s="40">
        <f t="shared" si="41"/>
        <v>485.67</v>
      </c>
      <c r="K83" s="39"/>
      <c r="L83" s="39">
        <f t="shared" si="42"/>
        <v>97.13</v>
      </c>
      <c r="M83" s="39"/>
    </row>
    <row r="84" spans="1:13" s="1" customFormat="1" ht="62.4">
      <c r="A84" s="28" t="s">
        <v>279</v>
      </c>
      <c r="B84" s="18">
        <v>992</v>
      </c>
      <c r="C84" s="25" t="s">
        <v>71</v>
      </c>
      <c r="D84" s="49" t="s">
        <v>362</v>
      </c>
      <c r="E84" s="25" t="s">
        <v>27</v>
      </c>
      <c r="F84" s="26">
        <f>F85+F86</f>
        <v>2607156</v>
      </c>
      <c r="G84" s="26">
        <f t="shared" ref="G84:H84" si="50">G85+G86</f>
        <v>2582883</v>
      </c>
      <c r="H84" s="26">
        <f t="shared" si="50"/>
        <v>2582883</v>
      </c>
      <c r="I84" s="26">
        <f t="shared" si="40"/>
        <v>0</v>
      </c>
      <c r="J84" s="27">
        <f t="shared" si="41"/>
        <v>99.07</v>
      </c>
      <c r="K84" s="26"/>
      <c r="L84" s="26">
        <f t="shared" si="42"/>
        <v>100</v>
      </c>
      <c r="M84" s="26"/>
    </row>
    <row r="85" spans="1:13" s="1" customFormat="1" ht="31.2">
      <c r="A85" s="18" t="s">
        <v>127</v>
      </c>
      <c r="B85" s="18">
        <v>992</v>
      </c>
      <c r="C85" s="25" t="s">
        <v>71</v>
      </c>
      <c r="D85" s="49" t="s">
        <v>362</v>
      </c>
      <c r="E85" s="25" t="s">
        <v>128</v>
      </c>
      <c r="F85" s="38">
        <f>2412156</f>
        <v>2412156</v>
      </c>
      <c r="G85" s="38">
        <v>2471710</v>
      </c>
      <c r="H85" s="38">
        <v>2471710</v>
      </c>
      <c r="I85" s="38">
        <f t="shared" si="40"/>
        <v>0</v>
      </c>
      <c r="J85" s="50">
        <f t="shared" si="41"/>
        <v>102.47</v>
      </c>
      <c r="K85" s="38"/>
      <c r="L85" s="38">
        <f t="shared" si="42"/>
        <v>100</v>
      </c>
      <c r="M85" s="38"/>
    </row>
    <row r="86" spans="1:13" s="1" customFormat="1" ht="140.4">
      <c r="A86" s="29" t="s">
        <v>125</v>
      </c>
      <c r="B86" s="18">
        <v>992</v>
      </c>
      <c r="C86" s="25" t="s">
        <v>71</v>
      </c>
      <c r="D86" s="49" t="s">
        <v>362</v>
      </c>
      <c r="E86" s="25" t="s">
        <v>126</v>
      </c>
      <c r="F86" s="26">
        <f>195000</f>
        <v>195000</v>
      </c>
      <c r="G86" s="26">
        <f t="shared" ref="G86:H86" si="51">195000-24273-59554</f>
        <v>111173</v>
      </c>
      <c r="H86" s="26">
        <f t="shared" si="51"/>
        <v>111173</v>
      </c>
      <c r="I86" s="26">
        <f t="shared" si="40"/>
        <v>0</v>
      </c>
      <c r="J86" s="27">
        <f t="shared" si="41"/>
        <v>57.01</v>
      </c>
      <c r="K86" s="38" t="s">
        <v>598</v>
      </c>
      <c r="L86" s="26">
        <f t="shared" si="42"/>
        <v>100</v>
      </c>
      <c r="M86" s="26"/>
    </row>
    <row r="87" spans="1:13" s="1" customFormat="1" ht="62.4">
      <c r="A87" s="16" t="s">
        <v>104</v>
      </c>
      <c r="B87" s="16">
        <v>992</v>
      </c>
      <c r="C87" s="28" t="s">
        <v>71</v>
      </c>
      <c r="D87" s="51" t="s">
        <v>282</v>
      </c>
      <c r="E87" s="28" t="s">
        <v>27</v>
      </c>
      <c r="F87" s="39">
        <f>F88+F89</f>
        <v>1219473</v>
      </c>
      <c r="G87" s="39">
        <f t="shared" ref="G87:H87" si="52">G88+G89</f>
        <v>1208033</v>
      </c>
      <c r="H87" s="39">
        <f t="shared" si="52"/>
        <v>1208033</v>
      </c>
      <c r="I87" s="39">
        <f t="shared" si="40"/>
        <v>0</v>
      </c>
      <c r="J87" s="40">
        <f t="shared" si="41"/>
        <v>99.06</v>
      </c>
      <c r="K87" s="39"/>
      <c r="L87" s="39">
        <f t="shared" si="42"/>
        <v>100</v>
      </c>
      <c r="M87" s="39"/>
    </row>
    <row r="88" spans="1:13" s="1" customFormat="1" ht="140.4">
      <c r="A88" s="16" t="s">
        <v>127</v>
      </c>
      <c r="B88" s="16">
        <v>992</v>
      </c>
      <c r="C88" s="28" t="s">
        <v>71</v>
      </c>
      <c r="D88" s="51" t="s">
        <v>282</v>
      </c>
      <c r="E88" s="28" t="s">
        <v>128</v>
      </c>
      <c r="F88" s="15">
        <f>1119473</f>
        <v>1119473</v>
      </c>
      <c r="G88" s="15">
        <f t="shared" ref="G88:H88" si="53">1119473+67976.67+20583.33</f>
        <v>1208033</v>
      </c>
      <c r="H88" s="15">
        <f t="shared" si="53"/>
        <v>1208033</v>
      </c>
      <c r="I88" s="15">
        <f t="shared" si="40"/>
        <v>0</v>
      </c>
      <c r="J88" s="52">
        <f t="shared" si="41"/>
        <v>107.91</v>
      </c>
      <c r="K88" s="15" t="s">
        <v>598</v>
      </c>
      <c r="L88" s="15">
        <f t="shared" si="42"/>
        <v>100</v>
      </c>
      <c r="M88" s="15"/>
    </row>
    <row r="89" spans="1:13" s="1" customFormat="1" ht="140.4">
      <c r="A89" s="53" t="s">
        <v>125</v>
      </c>
      <c r="B89" s="16">
        <v>992</v>
      </c>
      <c r="C89" s="28" t="s">
        <v>71</v>
      </c>
      <c r="D89" s="51" t="s">
        <v>282</v>
      </c>
      <c r="E89" s="28" t="s">
        <v>126</v>
      </c>
      <c r="F89" s="39">
        <f>100000</f>
        <v>100000</v>
      </c>
      <c r="G89" s="39">
        <f t="shared" ref="G89:H89" si="54">100000-11440-88560</f>
        <v>0</v>
      </c>
      <c r="H89" s="39">
        <f t="shared" si="54"/>
        <v>0</v>
      </c>
      <c r="I89" s="39">
        <f t="shared" si="40"/>
        <v>0</v>
      </c>
      <c r="J89" s="40">
        <f t="shared" si="41"/>
        <v>0</v>
      </c>
      <c r="K89" s="15" t="s">
        <v>598</v>
      </c>
      <c r="L89" s="39" t="e">
        <f t="shared" si="42"/>
        <v>#DIV/0!</v>
      </c>
      <c r="M89" s="15" t="s">
        <v>598</v>
      </c>
    </row>
    <row r="90" spans="1:13" s="2" customFormat="1" ht="46.8">
      <c r="A90" s="18" t="s">
        <v>103</v>
      </c>
      <c r="B90" s="18">
        <v>992</v>
      </c>
      <c r="C90" s="25" t="s">
        <v>71</v>
      </c>
      <c r="D90" s="18" t="s">
        <v>530</v>
      </c>
      <c r="E90" s="25" t="s">
        <v>27</v>
      </c>
      <c r="F90" s="26">
        <f>F91+F92</f>
        <v>1751461</v>
      </c>
      <c r="G90" s="26">
        <f t="shared" ref="G90:H90" si="55">G91+G92</f>
        <v>1723746</v>
      </c>
      <c r="H90" s="26">
        <f t="shared" si="55"/>
        <v>1723746</v>
      </c>
      <c r="I90" s="26">
        <f t="shared" si="40"/>
        <v>0</v>
      </c>
      <c r="J90" s="27">
        <f t="shared" si="41"/>
        <v>98.42</v>
      </c>
      <c r="K90" s="26"/>
      <c r="L90" s="26">
        <f t="shared" si="42"/>
        <v>100</v>
      </c>
      <c r="M90" s="26"/>
    </row>
    <row r="91" spans="1:13" s="2" customFormat="1" ht="31.2">
      <c r="A91" s="18" t="s">
        <v>127</v>
      </c>
      <c r="B91" s="18">
        <v>992</v>
      </c>
      <c r="C91" s="25" t="s">
        <v>71</v>
      </c>
      <c r="D91" s="18" t="s">
        <v>530</v>
      </c>
      <c r="E91" s="25" t="s">
        <v>128</v>
      </c>
      <c r="F91" s="26">
        <f>1668835</f>
        <v>1668835</v>
      </c>
      <c r="G91" s="26">
        <f t="shared" ref="G91:H91" si="56">1668835+35337</f>
        <v>1704172</v>
      </c>
      <c r="H91" s="26">
        <f t="shared" si="56"/>
        <v>1704172</v>
      </c>
      <c r="I91" s="26">
        <f t="shared" si="40"/>
        <v>0</v>
      </c>
      <c r="J91" s="27">
        <f t="shared" si="41"/>
        <v>102.12</v>
      </c>
      <c r="K91" s="26"/>
      <c r="L91" s="26">
        <f t="shared" si="42"/>
        <v>100</v>
      </c>
      <c r="M91" s="26"/>
    </row>
    <row r="92" spans="1:13" s="2" customFormat="1" ht="140.4">
      <c r="A92" s="29" t="s">
        <v>125</v>
      </c>
      <c r="B92" s="18">
        <v>992</v>
      </c>
      <c r="C92" s="25" t="s">
        <v>71</v>
      </c>
      <c r="D92" s="18" t="s">
        <v>530</v>
      </c>
      <c r="E92" s="25" t="s">
        <v>126</v>
      </c>
      <c r="F92" s="26">
        <f>82626</f>
        <v>82626</v>
      </c>
      <c r="G92" s="26">
        <f t="shared" ref="G92:H92" si="57">82626-27715-35337</f>
        <v>19574</v>
      </c>
      <c r="H92" s="26">
        <f t="shared" si="57"/>
        <v>19574</v>
      </c>
      <c r="I92" s="26">
        <f t="shared" si="40"/>
        <v>0</v>
      </c>
      <c r="J92" s="27">
        <f t="shared" si="41"/>
        <v>23.69</v>
      </c>
      <c r="K92" s="38" t="s">
        <v>598</v>
      </c>
      <c r="L92" s="26">
        <f t="shared" si="42"/>
        <v>100</v>
      </c>
      <c r="M92" s="26"/>
    </row>
    <row r="93" spans="1:13" s="2" customFormat="1" ht="46.8">
      <c r="A93" s="18" t="s">
        <v>105</v>
      </c>
      <c r="B93" s="18">
        <v>992</v>
      </c>
      <c r="C93" s="25" t="s">
        <v>71</v>
      </c>
      <c r="D93" s="18" t="s">
        <v>531</v>
      </c>
      <c r="E93" s="25" t="s">
        <v>27</v>
      </c>
      <c r="F93" s="26">
        <f>F94+F95</f>
        <v>1190768</v>
      </c>
      <c r="G93" s="26">
        <f t="shared" ref="G93:H93" si="58">G94+G95</f>
        <v>1190768</v>
      </c>
      <c r="H93" s="26">
        <f t="shared" si="58"/>
        <v>1190768</v>
      </c>
      <c r="I93" s="26">
        <f t="shared" si="40"/>
        <v>0</v>
      </c>
      <c r="J93" s="27">
        <f t="shared" si="41"/>
        <v>100</v>
      </c>
      <c r="K93" s="26"/>
      <c r="L93" s="26">
        <f t="shared" si="42"/>
        <v>100</v>
      </c>
      <c r="M93" s="26"/>
    </row>
    <row r="94" spans="1:13" s="2" customFormat="1" ht="31.2">
      <c r="A94" s="18" t="s">
        <v>127</v>
      </c>
      <c r="B94" s="18">
        <v>992</v>
      </c>
      <c r="C94" s="25" t="s">
        <v>71</v>
      </c>
      <c r="D94" s="18" t="s">
        <v>531</v>
      </c>
      <c r="E94" s="25" t="s">
        <v>128</v>
      </c>
      <c r="F94" s="26">
        <v>1128358</v>
      </c>
      <c r="G94" s="26">
        <v>1128358</v>
      </c>
      <c r="H94" s="26">
        <v>1128358</v>
      </c>
      <c r="I94" s="26">
        <f t="shared" si="40"/>
        <v>0</v>
      </c>
      <c r="J94" s="27">
        <f t="shared" si="41"/>
        <v>100</v>
      </c>
      <c r="K94" s="26"/>
      <c r="L94" s="26">
        <f t="shared" si="42"/>
        <v>100</v>
      </c>
      <c r="M94" s="26"/>
    </row>
    <row r="95" spans="1:13" s="2" customFormat="1" ht="31.2">
      <c r="A95" s="29" t="s">
        <v>125</v>
      </c>
      <c r="B95" s="18">
        <v>992</v>
      </c>
      <c r="C95" s="25" t="s">
        <v>71</v>
      </c>
      <c r="D95" s="18" t="s">
        <v>531</v>
      </c>
      <c r="E95" s="25" t="s">
        <v>126</v>
      </c>
      <c r="F95" s="26">
        <v>62410</v>
      </c>
      <c r="G95" s="26">
        <v>62410</v>
      </c>
      <c r="H95" s="26">
        <v>62410</v>
      </c>
      <c r="I95" s="26">
        <f t="shared" si="40"/>
        <v>0</v>
      </c>
      <c r="J95" s="27">
        <f t="shared" si="41"/>
        <v>100</v>
      </c>
      <c r="K95" s="26"/>
      <c r="L95" s="26">
        <f t="shared" si="42"/>
        <v>100</v>
      </c>
      <c r="M95" s="26"/>
    </row>
    <row r="96" spans="1:13" s="1" customFormat="1" ht="46.8">
      <c r="A96" s="29" t="s">
        <v>106</v>
      </c>
      <c r="B96" s="18">
        <v>992</v>
      </c>
      <c r="C96" s="25" t="s">
        <v>71</v>
      </c>
      <c r="D96" s="18" t="s">
        <v>224</v>
      </c>
      <c r="E96" s="48" t="s">
        <v>27</v>
      </c>
      <c r="F96" s="39">
        <f>F97</f>
        <v>3500000</v>
      </c>
      <c r="G96" s="39">
        <f t="shared" ref="G96:H96" si="59">G97</f>
        <v>2185980.96</v>
      </c>
      <c r="H96" s="39">
        <f t="shared" si="59"/>
        <v>2185980.96</v>
      </c>
      <c r="I96" s="39">
        <f t="shared" si="40"/>
        <v>0</v>
      </c>
      <c r="J96" s="40">
        <f t="shared" si="41"/>
        <v>62.46</v>
      </c>
      <c r="K96" s="39"/>
      <c r="L96" s="39">
        <f t="shared" si="42"/>
        <v>100</v>
      </c>
      <c r="M96" s="39"/>
    </row>
    <row r="97" spans="1:13" s="1" customFormat="1" ht="31.2">
      <c r="A97" s="29" t="s">
        <v>125</v>
      </c>
      <c r="B97" s="18">
        <v>992</v>
      </c>
      <c r="C97" s="25" t="s">
        <v>71</v>
      </c>
      <c r="D97" s="18" t="s">
        <v>224</v>
      </c>
      <c r="E97" s="48" t="s">
        <v>126</v>
      </c>
      <c r="F97" s="39">
        <f>3500000</f>
        <v>3500000</v>
      </c>
      <c r="G97" s="39">
        <f t="shared" ref="G97:H97" si="60">3500000-1314019.04</f>
        <v>2185980.96</v>
      </c>
      <c r="H97" s="39">
        <f t="shared" si="60"/>
        <v>2185980.96</v>
      </c>
      <c r="I97" s="39">
        <f t="shared" si="40"/>
        <v>0</v>
      </c>
      <c r="J97" s="40">
        <f t="shared" si="41"/>
        <v>62.46</v>
      </c>
      <c r="K97" s="39"/>
      <c r="L97" s="39">
        <f t="shared" si="42"/>
        <v>100</v>
      </c>
      <c r="M97" s="39"/>
    </row>
    <row r="98" spans="1:13" s="2" customFormat="1" ht="109.2">
      <c r="A98" s="54" t="s">
        <v>501</v>
      </c>
      <c r="B98" s="18">
        <v>992</v>
      </c>
      <c r="C98" s="25" t="s">
        <v>71</v>
      </c>
      <c r="D98" s="18" t="s">
        <v>184</v>
      </c>
      <c r="E98" s="25" t="s">
        <v>27</v>
      </c>
      <c r="F98" s="39">
        <f>F99+F100</f>
        <v>1121405</v>
      </c>
      <c r="G98" s="39">
        <f t="shared" ref="G98:H98" si="61">G99+G100</f>
        <v>1085733</v>
      </c>
      <c r="H98" s="39">
        <f t="shared" si="61"/>
        <v>1085733</v>
      </c>
      <c r="I98" s="39">
        <f t="shared" si="40"/>
        <v>0</v>
      </c>
      <c r="J98" s="40">
        <f t="shared" si="41"/>
        <v>96.82</v>
      </c>
      <c r="K98" s="39"/>
      <c r="L98" s="39">
        <f t="shared" si="42"/>
        <v>100</v>
      </c>
      <c r="M98" s="39"/>
    </row>
    <row r="99" spans="1:13" s="2" customFormat="1" ht="31.2">
      <c r="A99" s="18" t="s">
        <v>127</v>
      </c>
      <c r="B99" s="18">
        <v>992</v>
      </c>
      <c r="C99" s="25" t="s">
        <v>71</v>
      </c>
      <c r="D99" s="18" t="s">
        <v>184</v>
      </c>
      <c r="E99" s="25" t="s">
        <v>128</v>
      </c>
      <c r="F99" s="26">
        <f>1036945</f>
        <v>1036945</v>
      </c>
      <c r="G99" s="26">
        <f t="shared" ref="G99:H99" si="62">1036945+48788</f>
        <v>1085733</v>
      </c>
      <c r="H99" s="26">
        <f t="shared" si="62"/>
        <v>1085733</v>
      </c>
      <c r="I99" s="26">
        <f t="shared" si="40"/>
        <v>0</v>
      </c>
      <c r="J99" s="27">
        <f t="shared" si="41"/>
        <v>104.7</v>
      </c>
      <c r="K99" s="26"/>
      <c r="L99" s="26">
        <f t="shared" si="42"/>
        <v>100</v>
      </c>
      <c r="M99" s="26"/>
    </row>
    <row r="100" spans="1:13" s="2" customFormat="1" ht="140.4">
      <c r="A100" s="29" t="s">
        <v>125</v>
      </c>
      <c r="B100" s="18">
        <v>992</v>
      </c>
      <c r="C100" s="25" t="s">
        <v>71</v>
      </c>
      <c r="D100" s="18" t="s">
        <v>184</v>
      </c>
      <c r="E100" s="48" t="s">
        <v>126</v>
      </c>
      <c r="F100" s="39">
        <f>84460</f>
        <v>84460</v>
      </c>
      <c r="G100" s="39">
        <f t="shared" ref="G100:H100" si="63">84460-35672-48788</f>
        <v>0</v>
      </c>
      <c r="H100" s="39">
        <f t="shared" si="63"/>
        <v>0</v>
      </c>
      <c r="I100" s="39">
        <f t="shared" si="40"/>
        <v>0</v>
      </c>
      <c r="J100" s="40">
        <f t="shared" si="41"/>
        <v>0</v>
      </c>
      <c r="K100" s="15" t="s">
        <v>598</v>
      </c>
      <c r="L100" s="39" t="e">
        <f t="shared" si="42"/>
        <v>#DIV/0!</v>
      </c>
      <c r="M100" s="15" t="s">
        <v>598</v>
      </c>
    </row>
    <row r="101" spans="1:13" s="2" customFormat="1" ht="62.4">
      <c r="A101" s="16" t="s">
        <v>478</v>
      </c>
      <c r="B101" s="18">
        <v>992</v>
      </c>
      <c r="C101" s="25" t="s">
        <v>71</v>
      </c>
      <c r="D101" s="25" t="s">
        <v>244</v>
      </c>
      <c r="E101" s="25" t="s">
        <v>27</v>
      </c>
      <c r="F101" s="39">
        <f>F102+F103</f>
        <v>336933</v>
      </c>
      <c r="G101" s="39">
        <f t="shared" ref="G101:H101" si="64">G102+G103</f>
        <v>569098</v>
      </c>
      <c r="H101" s="39">
        <f t="shared" si="64"/>
        <v>569098</v>
      </c>
      <c r="I101" s="39">
        <f t="shared" si="40"/>
        <v>0</v>
      </c>
      <c r="J101" s="40">
        <f t="shared" si="41"/>
        <v>168.91</v>
      </c>
      <c r="K101" s="39"/>
      <c r="L101" s="39">
        <f t="shared" si="42"/>
        <v>100</v>
      </c>
      <c r="M101" s="39"/>
    </row>
    <row r="102" spans="1:13" s="2" customFormat="1" ht="31.2">
      <c r="A102" s="18" t="s">
        <v>127</v>
      </c>
      <c r="B102" s="18">
        <v>992</v>
      </c>
      <c r="C102" s="25" t="s">
        <v>71</v>
      </c>
      <c r="D102" s="25" t="s">
        <v>244</v>
      </c>
      <c r="E102" s="25" t="s">
        <v>128</v>
      </c>
      <c r="F102" s="15">
        <f>336933</f>
        <v>336933</v>
      </c>
      <c r="G102" s="15">
        <f t="shared" ref="G102:H102" si="65">336933-3011+235176-300000+72579</f>
        <v>341677</v>
      </c>
      <c r="H102" s="15">
        <f t="shared" si="65"/>
        <v>341677</v>
      </c>
      <c r="I102" s="15">
        <f t="shared" si="40"/>
        <v>0</v>
      </c>
      <c r="J102" s="52">
        <f t="shared" si="41"/>
        <v>101.41</v>
      </c>
      <c r="K102" s="15"/>
      <c r="L102" s="15">
        <f t="shared" si="42"/>
        <v>100</v>
      </c>
      <c r="M102" s="15"/>
    </row>
    <row r="103" spans="1:13" s="2" customFormat="1" ht="140.4">
      <c r="A103" s="18" t="s">
        <v>125</v>
      </c>
      <c r="B103" s="18">
        <v>992</v>
      </c>
      <c r="C103" s="25" t="s">
        <v>71</v>
      </c>
      <c r="D103" s="25" t="s">
        <v>244</v>
      </c>
      <c r="E103" s="25" t="s">
        <v>126</v>
      </c>
      <c r="F103" s="15">
        <f>0</f>
        <v>0</v>
      </c>
      <c r="G103" s="15">
        <f t="shared" ref="G103:H103" si="66">0+300000-72579</f>
        <v>227421</v>
      </c>
      <c r="H103" s="15">
        <f t="shared" si="66"/>
        <v>227421</v>
      </c>
      <c r="I103" s="15">
        <f t="shared" si="40"/>
        <v>0</v>
      </c>
      <c r="J103" s="52" t="e">
        <f t="shared" si="41"/>
        <v>#DIV/0!</v>
      </c>
      <c r="K103" s="15" t="s">
        <v>598</v>
      </c>
      <c r="L103" s="15">
        <f t="shared" si="42"/>
        <v>100</v>
      </c>
      <c r="M103" s="15"/>
    </row>
    <row r="104" spans="1:13" s="2" customFormat="1" ht="62.4">
      <c r="A104" s="16" t="s">
        <v>569</v>
      </c>
      <c r="B104" s="18">
        <v>992</v>
      </c>
      <c r="C104" s="25" t="s">
        <v>71</v>
      </c>
      <c r="D104" s="25" t="s">
        <v>568</v>
      </c>
      <c r="E104" s="25" t="s">
        <v>27</v>
      </c>
      <c r="F104" s="39">
        <f>F105</f>
        <v>0</v>
      </c>
      <c r="G104" s="39">
        <f t="shared" ref="G104:H104" si="67">G105</f>
        <v>5942973</v>
      </c>
      <c r="H104" s="39">
        <f t="shared" si="67"/>
        <v>5942973</v>
      </c>
      <c r="I104" s="39">
        <f t="shared" si="40"/>
        <v>0</v>
      </c>
      <c r="J104" s="40" t="e">
        <f t="shared" si="41"/>
        <v>#DIV/0!</v>
      </c>
      <c r="K104" s="39"/>
      <c r="L104" s="39">
        <f t="shared" si="42"/>
        <v>100</v>
      </c>
      <c r="M104" s="39"/>
    </row>
    <row r="105" spans="1:13" s="2" customFormat="1" ht="140.4">
      <c r="A105" s="18" t="s">
        <v>125</v>
      </c>
      <c r="B105" s="18">
        <v>992</v>
      </c>
      <c r="C105" s="25" t="s">
        <v>71</v>
      </c>
      <c r="D105" s="25" t="s">
        <v>568</v>
      </c>
      <c r="E105" s="25" t="s">
        <v>126</v>
      </c>
      <c r="F105" s="55">
        <v>0</v>
      </c>
      <c r="G105" s="55">
        <f t="shared" ref="G105:H105" si="68">5942973</f>
        <v>5942973</v>
      </c>
      <c r="H105" s="55">
        <f t="shared" si="68"/>
        <v>5942973</v>
      </c>
      <c r="I105" s="55">
        <f t="shared" si="40"/>
        <v>0</v>
      </c>
      <c r="J105" s="56" t="e">
        <f t="shared" si="41"/>
        <v>#DIV/0!</v>
      </c>
      <c r="K105" s="15" t="s">
        <v>598</v>
      </c>
      <c r="L105" s="15">
        <f t="shared" si="42"/>
        <v>100</v>
      </c>
      <c r="M105" s="15"/>
    </row>
    <row r="106" spans="1:13" s="2" customFormat="1" ht="15.6">
      <c r="A106" s="21" t="s">
        <v>83</v>
      </c>
      <c r="B106" s="21">
        <v>992</v>
      </c>
      <c r="C106" s="22" t="s">
        <v>84</v>
      </c>
      <c r="D106" s="22" t="s">
        <v>154</v>
      </c>
      <c r="E106" s="22" t="s">
        <v>27</v>
      </c>
      <c r="F106" s="57">
        <f>F107</f>
        <v>2932332</v>
      </c>
      <c r="G106" s="57">
        <f t="shared" ref="G106:H106" si="69">G107</f>
        <v>2395032</v>
      </c>
      <c r="H106" s="57">
        <f t="shared" si="69"/>
        <v>2395032</v>
      </c>
      <c r="I106" s="57">
        <f t="shared" si="40"/>
        <v>0</v>
      </c>
      <c r="J106" s="58">
        <f t="shared" si="41"/>
        <v>81.680000000000007</v>
      </c>
      <c r="K106" s="57"/>
      <c r="L106" s="57">
        <f t="shared" si="42"/>
        <v>100</v>
      </c>
      <c r="M106" s="57"/>
    </row>
    <row r="107" spans="1:13" s="2" customFormat="1" ht="15.6">
      <c r="A107" s="18" t="s">
        <v>110</v>
      </c>
      <c r="B107" s="16">
        <v>992</v>
      </c>
      <c r="C107" s="28" t="s">
        <v>85</v>
      </c>
      <c r="D107" s="28" t="s">
        <v>154</v>
      </c>
      <c r="E107" s="28" t="s">
        <v>27</v>
      </c>
      <c r="F107" s="57">
        <f>F109</f>
        <v>2932332</v>
      </c>
      <c r="G107" s="57">
        <f t="shared" ref="G107:H107" si="70">G109</f>
        <v>2395032</v>
      </c>
      <c r="H107" s="57">
        <f t="shared" si="70"/>
        <v>2395032</v>
      </c>
      <c r="I107" s="57">
        <f t="shared" si="40"/>
        <v>0</v>
      </c>
      <c r="J107" s="58">
        <f t="shared" si="41"/>
        <v>81.680000000000007</v>
      </c>
      <c r="K107" s="57"/>
      <c r="L107" s="57">
        <f t="shared" si="42"/>
        <v>100</v>
      </c>
      <c r="M107" s="57"/>
    </row>
    <row r="108" spans="1:13" s="2" customFormat="1" ht="46.8">
      <c r="A108" s="25" t="s">
        <v>358</v>
      </c>
      <c r="B108" s="16">
        <v>992</v>
      </c>
      <c r="C108" s="28" t="s">
        <v>85</v>
      </c>
      <c r="D108" s="28" t="s">
        <v>155</v>
      </c>
      <c r="E108" s="28" t="s">
        <v>27</v>
      </c>
      <c r="F108" s="57">
        <f>F109</f>
        <v>2932332</v>
      </c>
      <c r="G108" s="57">
        <f t="shared" ref="G108:H110" si="71">G109</f>
        <v>2395032</v>
      </c>
      <c r="H108" s="57">
        <f t="shared" si="71"/>
        <v>2395032</v>
      </c>
      <c r="I108" s="57">
        <f t="shared" si="40"/>
        <v>0</v>
      </c>
      <c r="J108" s="58">
        <f t="shared" si="41"/>
        <v>81.680000000000007</v>
      </c>
      <c r="K108" s="57"/>
      <c r="L108" s="57">
        <f t="shared" si="42"/>
        <v>100</v>
      </c>
      <c r="M108" s="57"/>
    </row>
    <row r="109" spans="1:13" s="2" customFormat="1" ht="31.2">
      <c r="A109" s="18" t="s">
        <v>356</v>
      </c>
      <c r="B109" s="16">
        <v>992</v>
      </c>
      <c r="C109" s="28" t="s">
        <v>85</v>
      </c>
      <c r="D109" s="28" t="s">
        <v>284</v>
      </c>
      <c r="E109" s="28" t="s">
        <v>27</v>
      </c>
      <c r="F109" s="57">
        <f>F110</f>
        <v>2932332</v>
      </c>
      <c r="G109" s="57">
        <f t="shared" si="71"/>
        <v>2395032</v>
      </c>
      <c r="H109" s="57">
        <f t="shared" si="71"/>
        <v>2395032</v>
      </c>
      <c r="I109" s="57">
        <f t="shared" si="40"/>
        <v>0</v>
      </c>
      <c r="J109" s="58">
        <f t="shared" si="41"/>
        <v>81.680000000000007</v>
      </c>
      <c r="K109" s="57"/>
      <c r="L109" s="57">
        <f t="shared" si="42"/>
        <v>100</v>
      </c>
      <c r="M109" s="57"/>
    </row>
    <row r="110" spans="1:13" s="2" customFormat="1" ht="15.6">
      <c r="A110" s="18" t="s">
        <v>357</v>
      </c>
      <c r="B110" s="16">
        <v>992</v>
      </c>
      <c r="C110" s="28" t="s">
        <v>85</v>
      </c>
      <c r="D110" s="28" t="s">
        <v>281</v>
      </c>
      <c r="E110" s="28" t="s">
        <v>27</v>
      </c>
      <c r="F110" s="57">
        <f>F111</f>
        <v>2932332</v>
      </c>
      <c r="G110" s="57">
        <f t="shared" si="71"/>
        <v>2395032</v>
      </c>
      <c r="H110" s="57">
        <f t="shared" si="71"/>
        <v>2395032</v>
      </c>
      <c r="I110" s="57">
        <f t="shared" si="40"/>
        <v>0</v>
      </c>
      <c r="J110" s="58">
        <f t="shared" si="41"/>
        <v>81.680000000000007</v>
      </c>
      <c r="K110" s="57"/>
      <c r="L110" s="57">
        <f t="shared" si="42"/>
        <v>100</v>
      </c>
      <c r="M110" s="57"/>
    </row>
    <row r="111" spans="1:13" s="2" customFormat="1" ht="62.4">
      <c r="A111" s="16" t="s">
        <v>102</v>
      </c>
      <c r="B111" s="18">
        <v>992</v>
      </c>
      <c r="C111" s="25" t="s">
        <v>85</v>
      </c>
      <c r="D111" s="25" t="s">
        <v>283</v>
      </c>
      <c r="E111" s="25" t="s">
        <v>27</v>
      </c>
      <c r="F111" s="57">
        <f>F112+F113</f>
        <v>2932332</v>
      </c>
      <c r="G111" s="57">
        <f t="shared" ref="G111:H111" si="72">G112+G113</f>
        <v>2395032</v>
      </c>
      <c r="H111" s="57">
        <f t="shared" si="72"/>
        <v>2395032</v>
      </c>
      <c r="I111" s="57">
        <f t="shared" si="40"/>
        <v>0</v>
      </c>
      <c r="J111" s="58">
        <f t="shared" si="41"/>
        <v>81.680000000000007</v>
      </c>
      <c r="K111" s="57"/>
      <c r="L111" s="57">
        <f t="shared" si="42"/>
        <v>100</v>
      </c>
      <c r="M111" s="57"/>
    </row>
    <row r="112" spans="1:13" s="2" customFormat="1" ht="140.4">
      <c r="A112" s="18" t="s">
        <v>127</v>
      </c>
      <c r="B112" s="18">
        <v>992</v>
      </c>
      <c r="C112" s="25" t="s">
        <v>85</v>
      </c>
      <c r="D112" s="25" t="s">
        <v>283</v>
      </c>
      <c r="E112" s="25" t="s">
        <v>128</v>
      </c>
      <c r="F112" s="15">
        <f>2932332</f>
        <v>2932332</v>
      </c>
      <c r="G112" s="15">
        <v>2340718</v>
      </c>
      <c r="H112" s="15">
        <v>2340718</v>
      </c>
      <c r="I112" s="15">
        <f t="shared" si="40"/>
        <v>0</v>
      </c>
      <c r="J112" s="52">
        <f t="shared" si="41"/>
        <v>79.819999999999993</v>
      </c>
      <c r="K112" s="15" t="s">
        <v>598</v>
      </c>
      <c r="L112" s="15">
        <f t="shared" si="42"/>
        <v>100</v>
      </c>
      <c r="M112" s="15"/>
    </row>
    <row r="113" spans="1:13" s="2" customFormat="1" ht="140.4">
      <c r="A113" s="18" t="s">
        <v>125</v>
      </c>
      <c r="B113" s="18">
        <v>992</v>
      </c>
      <c r="C113" s="25" t="s">
        <v>85</v>
      </c>
      <c r="D113" s="25" t="s">
        <v>283</v>
      </c>
      <c r="E113" s="25" t="s">
        <v>126</v>
      </c>
      <c r="F113" s="15">
        <f>0</f>
        <v>0</v>
      </c>
      <c r="G113" s="15">
        <v>54314</v>
      </c>
      <c r="H113" s="15">
        <v>54314</v>
      </c>
      <c r="I113" s="15">
        <f t="shared" si="40"/>
        <v>0</v>
      </c>
      <c r="J113" s="52" t="e">
        <f t="shared" si="41"/>
        <v>#DIV/0!</v>
      </c>
      <c r="K113" s="15" t="s">
        <v>598</v>
      </c>
      <c r="L113" s="15">
        <f t="shared" si="42"/>
        <v>100</v>
      </c>
      <c r="M113" s="15"/>
    </row>
    <row r="114" spans="1:13" s="2" customFormat="1" ht="31.2">
      <c r="A114" s="21" t="s">
        <v>187</v>
      </c>
      <c r="B114" s="59">
        <v>992</v>
      </c>
      <c r="C114" s="22" t="s">
        <v>188</v>
      </c>
      <c r="D114" s="22" t="s">
        <v>189</v>
      </c>
      <c r="E114" s="22" t="s">
        <v>27</v>
      </c>
      <c r="F114" s="23">
        <f>F115</f>
        <v>1000000</v>
      </c>
      <c r="G114" s="23">
        <f t="shared" ref="G114:H114" si="73">G115</f>
        <v>10693636.49</v>
      </c>
      <c r="H114" s="23">
        <f t="shared" si="73"/>
        <v>10263970.300000001</v>
      </c>
      <c r="I114" s="23">
        <f t="shared" si="40"/>
        <v>429666.19</v>
      </c>
      <c r="J114" s="24">
        <f t="shared" si="41"/>
        <v>1026.4000000000001</v>
      </c>
      <c r="K114" s="23"/>
      <c r="L114" s="23">
        <f t="shared" si="42"/>
        <v>95.98</v>
      </c>
      <c r="M114" s="23"/>
    </row>
    <row r="115" spans="1:13" s="2" customFormat="1" ht="46.8">
      <c r="A115" s="16" t="s">
        <v>409</v>
      </c>
      <c r="B115" s="18">
        <v>992</v>
      </c>
      <c r="C115" s="25" t="s">
        <v>407</v>
      </c>
      <c r="D115" s="25" t="s">
        <v>189</v>
      </c>
      <c r="E115" s="25" t="s">
        <v>27</v>
      </c>
      <c r="F115" s="38">
        <f>F116+F123</f>
        <v>1000000</v>
      </c>
      <c r="G115" s="38">
        <f t="shared" ref="G115:H115" si="74">G116+G123</f>
        <v>10693636.49</v>
      </c>
      <c r="H115" s="38">
        <f t="shared" si="74"/>
        <v>10263970.300000001</v>
      </c>
      <c r="I115" s="38">
        <f t="shared" si="40"/>
        <v>429666.19</v>
      </c>
      <c r="J115" s="50">
        <f t="shared" si="41"/>
        <v>1026.4000000000001</v>
      </c>
      <c r="K115" s="38"/>
      <c r="L115" s="38">
        <f t="shared" si="42"/>
        <v>95.98</v>
      </c>
      <c r="M115" s="38"/>
    </row>
    <row r="116" spans="1:13" s="2" customFormat="1" ht="78">
      <c r="A116" s="60" t="s">
        <v>364</v>
      </c>
      <c r="B116" s="18">
        <v>992</v>
      </c>
      <c r="C116" s="25" t="s">
        <v>407</v>
      </c>
      <c r="D116" s="18" t="s">
        <v>158</v>
      </c>
      <c r="E116" s="25" t="s">
        <v>27</v>
      </c>
      <c r="F116" s="26">
        <f t="shared" ref="F116:H118" si="75">F117</f>
        <v>1000000</v>
      </c>
      <c r="G116" s="26">
        <f t="shared" si="75"/>
        <v>10689636.49</v>
      </c>
      <c r="H116" s="26">
        <f t="shared" si="75"/>
        <v>10259970.300000001</v>
      </c>
      <c r="I116" s="26">
        <f t="shared" si="40"/>
        <v>429666.19</v>
      </c>
      <c r="J116" s="27">
        <f t="shared" si="41"/>
        <v>1026</v>
      </c>
      <c r="K116" s="26"/>
      <c r="L116" s="26">
        <f t="shared" si="42"/>
        <v>95.98</v>
      </c>
      <c r="M116" s="26"/>
    </row>
    <row r="117" spans="1:13" s="2" customFormat="1" ht="46.8">
      <c r="A117" s="60" t="s">
        <v>159</v>
      </c>
      <c r="B117" s="18">
        <v>992</v>
      </c>
      <c r="C117" s="25" t="s">
        <v>407</v>
      </c>
      <c r="D117" s="18" t="s">
        <v>160</v>
      </c>
      <c r="E117" s="25" t="s">
        <v>27</v>
      </c>
      <c r="F117" s="26">
        <f>F118+F120</f>
        <v>1000000</v>
      </c>
      <c r="G117" s="26">
        <f t="shared" ref="G117:H117" si="76">G118+G120</f>
        <v>10689636.49</v>
      </c>
      <c r="H117" s="26">
        <f t="shared" si="76"/>
        <v>10259970.300000001</v>
      </c>
      <c r="I117" s="26">
        <f t="shared" si="40"/>
        <v>429666.19</v>
      </c>
      <c r="J117" s="27">
        <f t="shared" si="41"/>
        <v>1026</v>
      </c>
      <c r="K117" s="26"/>
      <c r="L117" s="26">
        <f t="shared" si="42"/>
        <v>95.98</v>
      </c>
      <c r="M117" s="26"/>
    </row>
    <row r="118" spans="1:13" s="2" customFormat="1" ht="46.8">
      <c r="A118" s="18" t="s">
        <v>496</v>
      </c>
      <c r="B118" s="18">
        <v>992</v>
      </c>
      <c r="C118" s="25" t="s">
        <v>407</v>
      </c>
      <c r="D118" s="18" t="s">
        <v>363</v>
      </c>
      <c r="E118" s="25" t="s">
        <v>27</v>
      </c>
      <c r="F118" s="26">
        <f t="shared" si="75"/>
        <v>500000</v>
      </c>
      <c r="G118" s="26">
        <f t="shared" si="75"/>
        <v>599810</v>
      </c>
      <c r="H118" s="26">
        <f t="shared" si="75"/>
        <v>457684</v>
      </c>
      <c r="I118" s="26">
        <f t="shared" si="40"/>
        <v>142126</v>
      </c>
      <c r="J118" s="27">
        <f t="shared" si="41"/>
        <v>91.54</v>
      </c>
      <c r="K118" s="26"/>
      <c r="L118" s="26">
        <f t="shared" si="42"/>
        <v>76.3</v>
      </c>
      <c r="M118" s="26"/>
    </row>
    <row r="119" spans="1:13" s="2" customFormat="1" ht="31.2">
      <c r="A119" s="29" t="s">
        <v>125</v>
      </c>
      <c r="B119" s="18">
        <v>992</v>
      </c>
      <c r="C119" s="25" t="s">
        <v>407</v>
      </c>
      <c r="D119" s="18" t="s">
        <v>363</v>
      </c>
      <c r="E119" s="25" t="s">
        <v>126</v>
      </c>
      <c r="F119" s="43">
        <f>500000</f>
        <v>500000</v>
      </c>
      <c r="G119" s="43">
        <f t="shared" ref="G119" si="77">500000+999810-900000</f>
        <v>599810</v>
      </c>
      <c r="H119" s="43">
        <v>457684</v>
      </c>
      <c r="I119" s="43">
        <f t="shared" si="40"/>
        <v>142126</v>
      </c>
      <c r="J119" s="44">
        <f t="shared" si="41"/>
        <v>91.54</v>
      </c>
      <c r="K119" s="43"/>
      <c r="L119" s="43">
        <f t="shared" si="42"/>
        <v>76.3</v>
      </c>
      <c r="M119" s="43"/>
    </row>
    <row r="120" spans="1:13" s="2" customFormat="1" ht="31.2">
      <c r="A120" s="18" t="s">
        <v>408</v>
      </c>
      <c r="B120" s="18">
        <v>992</v>
      </c>
      <c r="C120" s="25" t="s">
        <v>407</v>
      </c>
      <c r="D120" s="18" t="s">
        <v>513</v>
      </c>
      <c r="E120" s="25" t="s">
        <v>27</v>
      </c>
      <c r="F120" s="26">
        <f>F121+F122</f>
        <v>500000</v>
      </c>
      <c r="G120" s="26">
        <f t="shared" ref="G120:H120" si="78">G121+G122</f>
        <v>10089826.49</v>
      </c>
      <c r="H120" s="26">
        <f t="shared" si="78"/>
        <v>9802286.3000000007</v>
      </c>
      <c r="I120" s="26">
        <f t="shared" si="40"/>
        <v>287540.19</v>
      </c>
      <c r="J120" s="27">
        <f t="shared" si="41"/>
        <v>1960.46</v>
      </c>
      <c r="K120" s="26"/>
      <c r="L120" s="26">
        <f t="shared" si="42"/>
        <v>97.15</v>
      </c>
      <c r="M120" s="26"/>
    </row>
    <row r="121" spans="1:13" s="2" customFormat="1" ht="31.2">
      <c r="A121" s="29" t="s">
        <v>125</v>
      </c>
      <c r="B121" s="18">
        <v>992</v>
      </c>
      <c r="C121" s="25" t="s">
        <v>407</v>
      </c>
      <c r="D121" s="18" t="s">
        <v>513</v>
      </c>
      <c r="E121" s="25" t="s">
        <v>126</v>
      </c>
      <c r="F121" s="39">
        <f>500000</f>
        <v>500000</v>
      </c>
      <c r="G121" s="39">
        <f t="shared" ref="G121" si="79">500000+2222291.49+5597208+150000+1020327-400000</f>
        <v>9089826.4900000002</v>
      </c>
      <c r="H121" s="39">
        <v>8802286.3000000007</v>
      </c>
      <c r="I121" s="39">
        <f t="shared" si="40"/>
        <v>287540.19</v>
      </c>
      <c r="J121" s="40">
        <f t="shared" si="41"/>
        <v>1760.46</v>
      </c>
      <c r="K121" s="39"/>
      <c r="L121" s="39">
        <f t="shared" si="42"/>
        <v>96.84</v>
      </c>
      <c r="M121" s="39"/>
    </row>
    <row r="122" spans="1:13" s="2" customFormat="1" ht="62.4">
      <c r="A122" s="29" t="s">
        <v>249</v>
      </c>
      <c r="B122" s="18">
        <v>992</v>
      </c>
      <c r="C122" s="25" t="s">
        <v>407</v>
      </c>
      <c r="D122" s="18" t="s">
        <v>513</v>
      </c>
      <c r="E122" s="25" t="s">
        <v>116</v>
      </c>
      <c r="F122" s="39">
        <v>0</v>
      </c>
      <c r="G122" s="39">
        <f t="shared" ref="G122:H122" si="80">500000+600000-100000</f>
        <v>1000000</v>
      </c>
      <c r="H122" s="39">
        <f t="shared" si="80"/>
        <v>1000000</v>
      </c>
      <c r="I122" s="39">
        <f t="shared" si="40"/>
        <v>0</v>
      </c>
      <c r="J122" s="40" t="e">
        <f t="shared" si="41"/>
        <v>#DIV/0!</v>
      </c>
      <c r="K122" s="39"/>
      <c r="L122" s="39">
        <f t="shared" si="42"/>
        <v>100</v>
      </c>
      <c r="M122" s="39"/>
    </row>
    <row r="123" spans="1:13" s="2" customFormat="1" ht="46.8">
      <c r="A123" s="25" t="s">
        <v>358</v>
      </c>
      <c r="B123" s="16">
        <v>992</v>
      </c>
      <c r="C123" s="28" t="s">
        <v>407</v>
      </c>
      <c r="D123" s="28" t="s">
        <v>155</v>
      </c>
      <c r="E123" s="28" t="s">
        <v>27</v>
      </c>
      <c r="F123" s="39">
        <f>F124</f>
        <v>0</v>
      </c>
      <c r="G123" s="39">
        <f t="shared" ref="G123:H126" si="81">G124</f>
        <v>4000</v>
      </c>
      <c r="H123" s="39">
        <f t="shared" si="81"/>
        <v>4000</v>
      </c>
      <c r="I123" s="39">
        <f t="shared" si="40"/>
        <v>0</v>
      </c>
      <c r="J123" s="40" t="e">
        <f t="shared" si="41"/>
        <v>#DIV/0!</v>
      </c>
      <c r="K123" s="39"/>
      <c r="L123" s="39">
        <f t="shared" si="42"/>
        <v>100</v>
      </c>
      <c r="M123" s="39"/>
    </row>
    <row r="124" spans="1:13" s="2" customFormat="1" ht="31.2">
      <c r="A124" s="18" t="s">
        <v>356</v>
      </c>
      <c r="B124" s="16">
        <v>992</v>
      </c>
      <c r="C124" s="28" t="s">
        <v>407</v>
      </c>
      <c r="D124" s="28" t="s">
        <v>284</v>
      </c>
      <c r="E124" s="28" t="s">
        <v>27</v>
      </c>
      <c r="F124" s="39">
        <f>F125</f>
        <v>0</v>
      </c>
      <c r="G124" s="39">
        <f t="shared" si="81"/>
        <v>4000</v>
      </c>
      <c r="H124" s="39">
        <f t="shared" si="81"/>
        <v>4000</v>
      </c>
      <c r="I124" s="39">
        <f t="shared" si="40"/>
        <v>0</v>
      </c>
      <c r="J124" s="40" t="e">
        <f t="shared" si="41"/>
        <v>#DIV/0!</v>
      </c>
      <c r="K124" s="39"/>
      <c r="L124" s="39">
        <f t="shared" si="42"/>
        <v>100</v>
      </c>
      <c r="M124" s="39"/>
    </row>
    <row r="125" spans="1:13" s="2" customFormat="1" ht="15.6">
      <c r="A125" s="18" t="s">
        <v>357</v>
      </c>
      <c r="B125" s="16">
        <v>992</v>
      </c>
      <c r="C125" s="28" t="s">
        <v>407</v>
      </c>
      <c r="D125" s="28" t="s">
        <v>281</v>
      </c>
      <c r="E125" s="28" t="s">
        <v>27</v>
      </c>
      <c r="F125" s="39">
        <f>F126</f>
        <v>0</v>
      </c>
      <c r="G125" s="39">
        <f t="shared" si="81"/>
        <v>4000</v>
      </c>
      <c r="H125" s="39">
        <f t="shared" si="81"/>
        <v>4000</v>
      </c>
      <c r="I125" s="39">
        <f t="shared" si="40"/>
        <v>0</v>
      </c>
      <c r="J125" s="40" t="e">
        <f t="shared" si="41"/>
        <v>#DIV/0!</v>
      </c>
      <c r="K125" s="39"/>
      <c r="L125" s="39">
        <f t="shared" si="42"/>
        <v>100</v>
      </c>
      <c r="M125" s="39"/>
    </row>
    <row r="126" spans="1:13" s="1" customFormat="1" ht="31.2">
      <c r="A126" s="46" t="s">
        <v>359</v>
      </c>
      <c r="B126" s="18">
        <v>992</v>
      </c>
      <c r="C126" s="28" t="s">
        <v>407</v>
      </c>
      <c r="D126" s="18" t="s">
        <v>222</v>
      </c>
      <c r="E126" s="48" t="s">
        <v>27</v>
      </c>
      <c r="F126" s="39">
        <f>F127</f>
        <v>0</v>
      </c>
      <c r="G126" s="39">
        <f t="shared" si="81"/>
        <v>4000</v>
      </c>
      <c r="H126" s="39">
        <f t="shared" si="81"/>
        <v>4000</v>
      </c>
      <c r="I126" s="39">
        <f t="shared" si="40"/>
        <v>0</v>
      </c>
      <c r="J126" s="40" t="e">
        <f t="shared" si="41"/>
        <v>#DIV/0!</v>
      </c>
      <c r="K126" s="39"/>
      <c r="L126" s="39">
        <f t="shared" si="42"/>
        <v>100</v>
      </c>
      <c r="M126" s="39"/>
    </row>
    <row r="127" spans="1:13" s="1" customFormat="1" ht="140.4">
      <c r="A127" s="29" t="s">
        <v>125</v>
      </c>
      <c r="B127" s="18">
        <v>992</v>
      </c>
      <c r="C127" s="28" t="s">
        <v>407</v>
      </c>
      <c r="D127" s="18" t="s">
        <v>222</v>
      </c>
      <c r="E127" s="48" t="s">
        <v>126</v>
      </c>
      <c r="F127" s="39">
        <v>0</v>
      </c>
      <c r="G127" s="39">
        <v>4000</v>
      </c>
      <c r="H127" s="39">
        <v>4000</v>
      </c>
      <c r="I127" s="39">
        <f t="shared" si="40"/>
        <v>0</v>
      </c>
      <c r="J127" s="40" t="e">
        <f t="shared" si="41"/>
        <v>#DIV/0!</v>
      </c>
      <c r="K127" s="15" t="s">
        <v>599</v>
      </c>
      <c r="L127" s="39">
        <f t="shared" si="42"/>
        <v>100</v>
      </c>
      <c r="M127" s="15"/>
    </row>
    <row r="128" spans="1:13" s="2" customFormat="1" ht="15.6">
      <c r="A128" s="21" t="s">
        <v>59</v>
      </c>
      <c r="B128" s="21">
        <v>992</v>
      </c>
      <c r="C128" s="22" t="s">
        <v>60</v>
      </c>
      <c r="D128" s="21" t="s">
        <v>154</v>
      </c>
      <c r="E128" s="22" t="s">
        <v>27</v>
      </c>
      <c r="F128" s="30">
        <f>F152+F165+F129+F185+F142</f>
        <v>161916253.03999999</v>
      </c>
      <c r="G128" s="30">
        <f>G152+G165+G129+G185+G142</f>
        <v>167557214.25999999</v>
      </c>
      <c r="H128" s="30">
        <f>H152+H165+H129+H185+H142</f>
        <v>160696639.44</v>
      </c>
      <c r="I128" s="30">
        <f t="shared" si="40"/>
        <v>6860574.8200000003</v>
      </c>
      <c r="J128" s="31">
        <f t="shared" si="41"/>
        <v>99.25</v>
      </c>
      <c r="K128" s="30"/>
      <c r="L128" s="30">
        <f t="shared" si="42"/>
        <v>95.91</v>
      </c>
      <c r="M128" s="30"/>
    </row>
    <row r="129" spans="1:13" s="2" customFormat="1" ht="15.6">
      <c r="A129" s="18" t="s">
        <v>179</v>
      </c>
      <c r="B129" s="18">
        <v>992</v>
      </c>
      <c r="C129" s="25" t="s">
        <v>180</v>
      </c>
      <c r="D129" s="18" t="s">
        <v>154</v>
      </c>
      <c r="E129" s="25" t="s">
        <v>27</v>
      </c>
      <c r="F129" s="26">
        <f>F130+F135</f>
        <v>2102922.6800000002</v>
      </c>
      <c r="G129" s="26">
        <f t="shared" ref="G129:H129" si="82">G130+G135</f>
        <v>4453016.21</v>
      </c>
      <c r="H129" s="26">
        <f t="shared" si="82"/>
        <v>4119025.15</v>
      </c>
      <c r="I129" s="26">
        <f t="shared" si="40"/>
        <v>333991.06</v>
      </c>
      <c r="J129" s="27">
        <f t="shared" si="41"/>
        <v>195.87</v>
      </c>
      <c r="K129" s="26"/>
      <c r="L129" s="26">
        <f t="shared" si="42"/>
        <v>92.5</v>
      </c>
      <c r="M129" s="26"/>
    </row>
    <row r="130" spans="1:13" s="2" customFormat="1" ht="62.4">
      <c r="A130" s="25" t="s">
        <v>554</v>
      </c>
      <c r="B130" s="16">
        <v>992</v>
      </c>
      <c r="C130" s="28" t="s">
        <v>180</v>
      </c>
      <c r="D130" s="28" t="s">
        <v>553</v>
      </c>
      <c r="E130" s="28" t="s">
        <v>27</v>
      </c>
      <c r="F130" s="39">
        <f>F131</f>
        <v>0</v>
      </c>
      <c r="G130" s="39">
        <f t="shared" ref="G130:H133" si="83">G131</f>
        <v>553565.48</v>
      </c>
      <c r="H130" s="39">
        <f t="shared" si="83"/>
        <v>553565</v>
      </c>
      <c r="I130" s="39">
        <f t="shared" si="40"/>
        <v>0.48</v>
      </c>
      <c r="J130" s="40" t="e">
        <f t="shared" si="41"/>
        <v>#DIV/0!</v>
      </c>
      <c r="K130" s="39"/>
      <c r="L130" s="39">
        <f t="shared" si="42"/>
        <v>100</v>
      </c>
      <c r="M130" s="39"/>
    </row>
    <row r="131" spans="1:13" s="2" customFormat="1" ht="46.8">
      <c r="A131" s="18" t="s">
        <v>556</v>
      </c>
      <c r="B131" s="16">
        <v>992</v>
      </c>
      <c r="C131" s="28" t="s">
        <v>180</v>
      </c>
      <c r="D131" s="28" t="s">
        <v>558</v>
      </c>
      <c r="E131" s="28" t="s">
        <v>27</v>
      </c>
      <c r="F131" s="39">
        <f>F132</f>
        <v>0</v>
      </c>
      <c r="G131" s="39">
        <f t="shared" si="83"/>
        <v>553565.48</v>
      </c>
      <c r="H131" s="39">
        <f t="shared" si="83"/>
        <v>553565</v>
      </c>
      <c r="I131" s="39">
        <f t="shared" si="40"/>
        <v>0.48</v>
      </c>
      <c r="J131" s="40" t="e">
        <f t="shared" si="41"/>
        <v>#DIV/0!</v>
      </c>
      <c r="K131" s="39"/>
      <c r="L131" s="39">
        <f t="shared" si="42"/>
        <v>100</v>
      </c>
      <c r="M131" s="39"/>
    </row>
    <row r="132" spans="1:13" s="2" customFormat="1" ht="46.8">
      <c r="A132" s="18" t="s">
        <v>557</v>
      </c>
      <c r="B132" s="16">
        <v>992</v>
      </c>
      <c r="C132" s="28" t="s">
        <v>180</v>
      </c>
      <c r="D132" s="28" t="s">
        <v>559</v>
      </c>
      <c r="E132" s="28" t="s">
        <v>27</v>
      </c>
      <c r="F132" s="39">
        <f>F133</f>
        <v>0</v>
      </c>
      <c r="G132" s="39">
        <f t="shared" si="83"/>
        <v>553565.48</v>
      </c>
      <c r="H132" s="39">
        <f t="shared" si="83"/>
        <v>553565</v>
      </c>
      <c r="I132" s="39">
        <f t="shared" si="40"/>
        <v>0.48</v>
      </c>
      <c r="J132" s="40" t="e">
        <f t="shared" si="41"/>
        <v>#DIV/0!</v>
      </c>
      <c r="K132" s="39"/>
      <c r="L132" s="39">
        <f t="shared" si="42"/>
        <v>100</v>
      </c>
      <c r="M132" s="39"/>
    </row>
    <row r="133" spans="1:13" s="2" customFormat="1" ht="46.8">
      <c r="A133" s="61" t="s">
        <v>532</v>
      </c>
      <c r="B133" s="16">
        <v>992</v>
      </c>
      <c r="C133" s="28" t="s">
        <v>180</v>
      </c>
      <c r="D133" s="16" t="s">
        <v>555</v>
      </c>
      <c r="E133" s="28" t="s">
        <v>27</v>
      </c>
      <c r="F133" s="39">
        <f>F134</f>
        <v>0</v>
      </c>
      <c r="G133" s="39">
        <f t="shared" si="83"/>
        <v>553565.48</v>
      </c>
      <c r="H133" s="39">
        <f t="shared" si="83"/>
        <v>553565</v>
      </c>
      <c r="I133" s="39">
        <f t="shared" si="40"/>
        <v>0.48</v>
      </c>
      <c r="J133" s="40" t="e">
        <f t="shared" si="41"/>
        <v>#DIV/0!</v>
      </c>
      <c r="K133" s="39"/>
      <c r="L133" s="39">
        <f t="shared" si="42"/>
        <v>100</v>
      </c>
      <c r="M133" s="39"/>
    </row>
    <row r="134" spans="1:13" s="2" customFormat="1" ht="140.4">
      <c r="A134" s="53" t="s">
        <v>125</v>
      </c>
      <c r="B134" s="16">
        <v>992</v>
      </c>
      <c r="C134" s="28" t="s">
        <v>180</v>
      </c>
      <c r="D134" s="16" t="s">
        <v>555</v>
      </c>
      <c r="E134" s="28" t="s">
        <v>126</v>
      </c>
      <c r="F134" s="15">
        <v>0</v>
      </c>
      <c r="G134" s="15">
        <f t="shared" ref="G134" si="84">1744041.67-1190476.19</f>
        <v>553565.48</v>
      </c>
      <c r="H134" s="15">
        <v>553565</v>
      </c>
      <c r="I134" s="15">
        <f t="shared" si="40"/>
        <v>0.48</v>
      </c>
      <c r="J134" s="52" t="e">
        <f t="shared" si="41"/>
        <v>#DIV/0!</v>
      </c>
      <c r="K134" s="15" t="s">
        <v>598</v>
      </c>
      <c r="L134" s="15">
        <f t="shared" si="42"/>
        <v>100</v>
      </c>
      <c r="M134" s="15"/>
    </row>
    <row r="135" spans="1:13" s="2" customFormat="1" ht="46.8">
      <c r="A135" s="25" t="s">
        <v>358</v>
      </c>
      <c r="B135" s="16">
        <v>992</v>
      </c>
      <c r="C135" s="28" t="s">
        <v>180</v>
      </c>
      <c r="D135" s="28" t="s">
        <v>155</v>
      </c>
      <c r="E135" s="28" t="s">
        <v>27</v>
      </c>
      <c r="F135" s="39">
        <f>F136</f>
        <v>2102922.6800000002</v>
      </c>
      <c r="G135" s="39">
        <f t="shared" ref="G135:H140" si="85">G136</f>
        <v>3899450.73</v>
      </c>
      <c r="H135" s="39">
        <f t="shared" si="85"/>
        <v>3565460.15</v>
      </c>
      <c r="I135" s="39">
        <f t="shared" si="40"/>
        <v>333990.58</v>
      </c>
      <c r="J135" s="40">
        <f t="shared" si="41"/>
        <v>169.55</v>
      </c>
      <c r="K135" s="39"/>
      <c r="L135" s="39">
        <f t="shared" si="42"/>
        <v>91.43</v>
      </c>
      <c r="M135" s="39"/>
    </row>
    <row r="136" spans="1:13" s="2" customFormat="1" ht="31.2">
      <c r="A136" s="18" t="s">
        <v>356</v>
      </c>
      <c r="B136" s="16">
        <v>992</v>
      </c>
      <c r="C136" s="28" t="s">
        <v>180</v>
      </c>
      <c r="D136" s="28" t="s">
        <v>284</v>
      </c>
      <c r="E136" s="28" t="s">
        <v>27</v>
      </c>
      <c r="F136" s="39">
        <f>F137</f>
        <v>2102922.6800000002</v>
      </c>
      <c r="G136" s="39">
        <f t="shared" si="85"/>
        <v>3899450.73</v>
      </c>
      <c r="H136" s="39">
        <f t="shared" si="85"/>
        <v>3565460.15</v>
      </c>
      <c r="I136" s="39">
        <f t="shared" si="40"/>
        <v>333990.58</v>
      </c>
      <c r="J136" s="40">
        <f t="shared" si="41"/>
        <v>169.55</v>
      </c>
      <c r="K136" s="39"/>
      <c r="L136" s="39">
        <f t="shared" si="42"/>
        <v>91.43</v>
      </c>
      <c r="M136" s="39"/>
    </row>
    <row r="137" spans="1:13" s="2" customFormat="1" ht="15.6">
      <c r="A137" s="18" t="s">
        <v>357</v>
      </c>
      <c r="B137" s="16">
        <v>992</v>
      </c>
      <c r="C137" s="28" t="s">
        <v>180</v>
      </c>
      <c r="D137" s="28" t="s">
        <v>281</v>
      </c>
      <c r="E137" s="28" t="s">
        <v>27</v>
      </c>
      <c r="F137" s="39">
        <f>F140+F138</f>
        <v>2102922.6800000002</v>
      </c>
      <c r="G137" s="39">
        <f>G140+G138</f>
        <v>3899450.73</v>
      </c>
      <c r="H137" s="39">
        <f>H140+H138</f>
        <v>3565460.15</v>
      </c>
      <c r="I137" s="39">
        <f t="shared" si="40"/>
        <v>333990.58</v>
      </c>
      <c r="J137" s="40">
        <f t="shared" si="41"/>
        <v>169.55</v>
      </c>
      <c r="K137" s="39"/>
      <c r="L137" s="39">
        <f t="shared" si="42"/>
        <v>91.43</v>
      </c>
      <c r="M137" s="39"/>
    </row>
    <row r="138" spans="1:13" s="1" customFormat="1" ht="31.2">
      <c r="A138" s="46" t="s">
        <v>359</v>
      </c>
      <c r="B138" s="18">
        <v>992</v>
      </c>
      <c r="C138" s="28" t="s">
        <v>180</v>
      </c>
      <c r="D138" s="18" t="s">
        <v>222</v>
      </c>
      <c r="E138" s="48" t="s">
        <v>27</v>
      </c>
      <c r="F138" s="39">
        <f>F139</f>
        <v>0</v>
      </c>
      <c r="G138" s="39">
        <f t="shared" ref="G138" si="86">G139</f>
        <v>593055.51</v>
      </c>
      <c r="H138" s="39">
        <f t="shared" ref="H138" si="87">H139</f>
        <v>593055.51</v>
      </c>
      <c r="I138" s="39">
        <f t="shared" ref="I138:I203" si="88">$G138-$H138</f>
        <v>0</v>
      </c>
      <c r="J138" s="40" t="e">
        <f t="shared" ref="J138:J203" si="89">$H138/$F138*100</f>
        <v>#DIV/0!</v>
      </c>
      <c r="K138" s="39"/>
      <c r="L138" s="39">
        <f t="shared" ref="L138:L203" si="90">$H138/$G138*100</f>
        <v>100</v>
      </c>
      <c r="M138" s="39"/>
    </row>
    <row r="139" spans="1:13" s="1" customFormat="1" ht="140.4">
      <c r="A139" s="29" t="s">
        <v>125</v>
      </c>
      <c r="B139" s="18">
        <v>992</v>
      </c>
      <c r="C139" s="28" t="s">
        <v>180</v>
      </c>
      <c r="D139" s="18" t="s">
        <v>222</v>
      </c>
      <c r="E139" s="48" t="s">
        <v>126</v>
      </c>
      <c r="F139" s="39">
        <v>0</v>
      </c>
      <c r="G139" s="39">
        <v>593055.51</v>
      </c>
      <c r="H139" s="39">
        <v>593055.51</v>
      </c>
      <c r="I139" s="39">
        <f t="shared" si="88"/>
        <v>0</v>
      </c>
      <c r="J139" s="40" t="e">
        <f t="shared" si="89"/>
        <v>#DIV/0!</v>
      </c>
      <c r="K139" s="15" t="s">
        <v>599</v>
      </c>
      <c r="L139" s="39">
        <f t="shared" si="90"/>
        <v>100</v>
      </c>
      <c r="M139" s="15"/>
    </row>
    <row r="140" spans="1:13" s="2" customFormat="1" ht="93.6">
      <c r="A140" s="61" t="s">
        <v>285</v>
      </c>
      <c r="B140" s="16">
        <v>992</v>
      </c>
      <c r="C140" s="28" t="s">
        <v>180</v>
      </c>
      <c r="D140" s="16" t="s">
        <v>166</v>
      </c>
      <c r="E140" s="28" t="s">
        <v>27</v>
      </c>
      <c r="F140" s="39">
        <f>F141</f>
        <v>2102922.6800000002</v>
      </c>
      <c r="G140" s="39">
        <f t="shared" si="85"/>
        <v>3306395.22</v>
      </c>
      <c r="H140" s="39">
        <f t="shared" si="85"/>
        <v>2972404.64</v>
      </c>
      <c r="I140" s="39">
        <f t="shared" si="88"/>
        <v>333990.58</v>
      </c>
      <c r="J140" s="40">
        <f t="shared" si="89"/>
        <v>141.35</v>
      </c>
      <c r="K140" s="39"/>
      <c r="L140" s="39">
        <f t="shared" si="90"/>
        <v>89.9</v>
      </c>
      <c r="M140" s="39"/>
    </row>
    <row r="141" spans="1:13" s="2" customFormat="1" ht="140.4">
      <c r="A141" s="53" t="s">
        <v>125</v>
      </c>
      <c r="B141" s="16">
        <v>992</v>
      </c>
      <c r="C141" s="28" t="s">
        <v>180</v>
      </c>
      <c r="D141" s="16" t="s">
        <v>166</v>
      </c>
      <c r="E141" s="28" t="s">
        <v>126</v>
      </c>
      <c r="F141" s="55">
        <f>2102922.68</f>
        <v>2102922.6800000002</v>
      </c>
      <c r="G141" s="55">
        <v>3306395.22</v>
      </c>
      <c r="H141" s="55">
        <v>2972404.64</v>
      </c>
      <c r="I141" s="55">
        <f t="shared" si="88"/>
        <v>333990.58</v>
      </c>
      <c r="J141" s="56">
        <f t="shared" si="89"/>
        <v>141.35</v>
      </c>
      <c r="K141" s="15" t="s">
        <v>598</v>
      </c>
      <c r="L141" s="15">
        <f t="shared" si="90"/>
        <v>89.9</v>
      </c>
      <c r="M141" s="15" t="s">
        <v>598</v>
      </c>
    </row>
    <row r="142" spans="1:13" s="2" customFormat="1" ht="15.6">
      <c r="A142" s="18" t="s">
        <v>524</v>
      </c>
      <c r="B142" s="16">
        <v>992</v>
      </c>
      <c r="C142" s="28" t="s">
        <v>522</v>
      </c>
      <c r="D142" s="16" t="s">
        <v>154</v>
      </c>
      <c r="E142" s="28" t="s">
        <v>27</v>
      </c>
      <c r="F142" s="39">
        <f>F143+F147</f>
        <v>500000</v>
      </c>
      <c r="G142" s="39">
        <f t="shared" ref="G142:H142" si="91">G143+G147</f>
        <v>51200</v>
      </c>
      <c r="H142" s="39">
        <f t="shared" si="91"/>
        <v>51200</v>
      </c>
      <c r="I142" s="39">
        <f t="shared" si="88"/>
        <v>0</v>
      </c>
      <c r="J142" s="40">
        <f t="shared" si="89"/>
        <v>10.24</v>
      </c>
      <c r="K142" s="39"/>
      <c r="L142" s="39">
        <f t="shared" si="90"/>
        <v>100</v>
      </c>
      <c r="M142" s="39"/>
    </row>
    <row r="143" spans="1:13" s="2" customFormat="1" ht="78">
      <c r="A143" s="60" t="s">
        <v>364</v>
      </c>
      <c r="B143" s="18">
        <v>992</v>
      </c>
      <c r="C143" s="28" t="s">
        <v>522</v>
      </c>
      <c r="D143" s="18" t="s">
        <v>158</v>
      </c>
      <c r="E143" s="25" t="s">
        <v>27</v>
      </c>
      <c r="F143" s="26">
        <f t="shared" ref="F143:H145" si="92">F144</f>
        <v>500000</v>
      </c>
      <c r="G143" s="26">
        <f t="shared" si="92"/>
        <v>0</v>
      </c>
      <c r="H143" s="26">
        <f t="shared" si="92"/>
        <v>0</v>
      </c>
      <c r="I143" s="26">
        <f t="shared" si="88"/>
        <v>0</v>
      </c>
      <c r="J143" s="27">
        <f t="shared" si="89"/>
        <v>0</v>
      </c>
      <c r="K143" s="26"/>
      <c r="L143" s="26" t="e">
        <f t="shared" si="90"/>
        <v>#DIV/0!</v>
      </c>
      <c r="M143" s="26"/>
    </row>
    <row r="144" spans="1:13" s="2" customFormat="1" ht="46.8">
      <c r="A144" s="60" t="s">
        <v>159</v>
      </c>
      <c r="B144" s="18">
        <v>992</v>
      </c>
      <c r="C144" s="28" t="s">
        <v>522</v>
      </c>
      <c r="D144" s="18" t="s">
        <v>160</v>
      </c>
      <c r="E144" s="25" t="s">
        <v>27</v>
      </c>
      <c r="F144" s="26">
        <f>F145</f>
        <v>500000</v>
      </c>
      <c r="G144" s="26">
        <f t="shared" si="92"/>
        <v>0</v>
      </c>
      <c r="H144" s="26">
        <f t="shared" si="92"/>
        <v>0</v>
      </c>
      <c r="I144" s="26">
        <f t="shared" si="88"/>
        <v>0</v>
      </c>
      <c r="J144" s="27">
        <f t="shared" si="89"/>
        <v>0</v>
      </c>
      <c r="K144" s="26"/>
      <c r="L144" s="26" t="e">
        <f t="shared" si="90"/>
        <v>#DIV/0!</v>
      </c>
      <c r="M144" s="26"/>
    </row>
    <row r="145" spans="1:13" s="2" customFormat="1" ht="62.4">
      <c r="A145" s="18" t="s">
        <v>525</v>
      </c>
      <c r="B145" s="18">
        <v>992</v>
      </c>
      <c r="C145" s="28" t="s">
        <v>522</v>
      </c>
      <c r="D145" s="18" t="s">
        <v>523</v>
      </c>
      <c r="E145" s="25" t="s">
        <v>27</v>
      </c>
      <c r="F145" s="26">
        <f t="shared" si="92"/>
        <v>500000</v>
      </c>
      <c r="G145" s="26">
        <f t="shared" si="92"/>
        <v>0</v>
      </c>
      <c r="H145" s="26">
        <f t="shared" si="92"/>
        <v>0</v>
      </c>
      <c r="I145" s="26">
        <f t="shared" si="88"/>
        <v>0</v>
      </c>
      <c r="J145" s="27">
        <f t="shared" si="89"/>
        <v>0</v>
      </c>
      <c r="K145" s="26"/>
      <c r="L145" s="26" t="e">
        <f t="shared" si="90"/>
        <v>#DIV/0!</v>
      </c>
      <c r="M145" s="26"/>
    </row>
    <row r="146" spans="1:13" s="2" customFormat="1" ht="31.2">
      <c r="A146" s="29" t="s">
        <v>125</v>
      </c>
      <c r="B146" s="18">
        <v>992</v>
      </c>
      <c r="C146" s="28" t="s">
        <v>522</v>
      </c>
      <c r="D146" s="18" t="s">
        <v>523</v>
      </c>
      <c r="E146" s="25" t="s">
        <v>126</v>
      </c>
      <c r="F146" s="43">
        <f>500000</f>
        <v>500000</v>
      </c>
      <c r="G146" s="43">
        <f t="shared" ref="G146:H146" si="93">500000-500000</f>
        <v>0</v>
      </c>
      <c r="H146" s="43">
        <f t="shared" si="93"/>
        <v>0</v>
      </c>
      <c r="I146" s="43">
        <f t="shared" si="88"/>
        <v>0</v>
      </c>
      <c r="J146" s="44">
        <f t="shared" si="89"/>
        <v>0</v>
      </c>
      <c r="K146" s="43"/>
      <c r="L146" s="43" t="e">
        <f t="shared" si="90"/>
        <v>#DIV/0!</v>
      </c>
      <c r="M146" s="43"/>
    </row>
    <row r="147" spans="1:13" s="2" customFormat="1" ht="46.8">
      <c r="A147" s="25" t="s">
        <v>358</v>
      </c>
      <c r="B147" s="16">
        <v>992</v>
      </c>
      <c r="C147" s="28" t="s">
        <v>522</v>
      </c>
      <c r="D147" s="28" t="s">
        <v>155</v>
      </c>
      <c r="E147" s="28" t="s">
        <v>27</v>
      </c>
      <c r="F147" s="39">
        <f>F148</f>
        <v>0</v>
      </c>
      <c r="G147" s="39">
        <f t="shared" ref="G147:H150" si="94">G148</f>
        <v>51200</v>
      </c>
      <c r="H147" s="39">
        <f t="shared" si="94"/>
        <v>51200</v>
      </c>
      <c r="I147" s="39">
        <f t="shared" si="88"/>
        <v>0</v>
      </c>
      <c r="J147" s="40" t="e">
        <f t="shared" si="89"/>
        <v>#DIV/0!</v>
      </c>
      <c r="K147" s="39"/>
      <c r="L147" s="39">
        <f t="shared" si="90"/>
        <v>100</v>
      </c>
      <c r="M147" s="39"/>
    </row>
    <row r="148" spans="1:13" s="2" customFormat="1" ht="31.2">
      <c r="A148" s="18" t="s">
        <v>356</v>
      </c>
      <c r="B148" s="16">
        <v>992</v>
      </c>
      <c r="C148" s="28" t="s">
        <v>522</v>
      </c>
      <c r="D148" s="28" t="s">
        <v>284</v>
      </c>
      <c r="E148" s="28" t="s">
        <v>27</v>
      </c>
      <c r="F148" s="39">
        <f>F149</f>
        <v>0</v>
      </c>
      <c r="G148" s="39">
        <f t="shared" si="94"/>
        <v>51200</v>
      </c>
      <c r="H148" s="39">
        <f t="shared" si="94"/>
        <v>51200</v>
      </c>
      <c r="I148" s="39">
        <f t="shared" si="88"/>
        <v>0</v>
      </c>
      <c r="J148" s="40" t="e">
        <f t="shared" si="89"/>
        <v>#DIV/0!</v>
      </c>
      <c r="K148" s="39"/>
      <c r="L148" s="39">
        <f t="shared" si="90"/>
        <v>100</v>
      </c>
      <c r="M148" s="39"/>
    </row>
    <row r="149" spans="1:13" s="2" customFormat="1" ht="15.6">
      <c r="A149" s="18" t="s">
        <v>357</v>
      </c>
      <c r="B149" s="16">
        <v>992</v>
      </c>
      <c r="C149" s="28" t="s">
        <v>522</v>
      </c>
      <c r="D149" s="28" t="s">
        <v>281</v>
      </c>
      <c r="E149" s="28" t="s">
        <v>27</v>
      </c>
      <c r="F149" s="39">
        <f>F150</f>
        <v>0</v>
      </c>
      <c r="G149" s="39">
        <f t="shared" si="94"/>
        <v>51200</v>
      </c>
      <c r="H149" s="39">
        <f t="shared" si="94"/>
        <v>51200</v>
      </c>
      <c r="I149" s="39">
        <f t="shared" si="88"/>
        <v>0</v>
      </c>
      <c r="J149" s="40" t="e">
        <f t="shared" si="89"/>
        <v>#DIV/0!</v>
      </c>
      <c r="K149" s="39"/>
      <c r="L149" s="39">
        <f t="shared" si="90"/>
        <v>100</v>
      </c>
      <c r="M149" s="39"/>
    </row>
    <row r="150" spans="1:13" s="1" customFormat="1" ht="31.2">
      <c r="A150" s="46" t="s">
        <v>359</v>
      </c>
      <c r="B150" s="18">
        <v>992</v>
      </c>
      <c r="C150" s="28" t="s">
        <v>522</v>
      </c>
      <c r="D150" s="18" t="s">
        <v>222</v>
      </c>
      <c r="E150" s="48" t="s">
        <v>27</v>
      </c>
      <c r="F150" s="39">
        <f>F151</f>
        <v>0</v>
      </c>
      <c r="G150" s="39">
        <f t="shared" si="94"/>
        <v>51200</v>
      </c>
      <c r="H150" s="39">
        <f t="shared" si="94"/>
        <v>51200</v>
      </c>
      <c r="I150" s="39">
        <f t="shared" si="88"/>
        <v>0</v>
      </c>
      <c r="J150" s="40" t="e">
        <f t="shared" si="89"/>
        <v>#DIV/0!</v>
      </c>
      <c r="K150" s="39"/>
      <c r="L150" s="39">
        <f t="shared" si="90"/>
        <v>100</v>
      </c>
      <c r="M150" s="39"/>
    </row>
    <row r="151" spans="1:13" s="1" customFormat="1" ht="140.4">
      <c r="A151" s="29" t="s">
        <v>125</v>
      </c>
      <c r="B151" s="18">
        <v>992</v>
      </c>
      <c r="C151" s="28" t="s">
        <v>522</v>
      </c>
      <c r="D151" s="18" t="s">
        <v>222</v>
      </c>
      <c r="E151" s="48" t="s">
        <v>126</v>
      </c>
      <c r="F151" s="39">
        <f>0</f>
        <v>0</v>
      </c>
      <c r="G151" s="39">
        <f t="shared" ref="G151:H151" si="95">0+51200</f>
        <v>51200</v>
      </c>
      <c r="H151" s="39">
        <f t="shared" si="95"/>
        <v>51200</v>
      </c>
      <c r="I151" s="39">
        <f t="shared" si="88"/>
        <v>0</v>
      </c>
      <c r="J151" s="40" t="e">
        <f t="shared" si="89"/>
        <v>#DIV/0!</v>
      </c>
      <c r="K151" s="15" t="s">
        <v>599</v>
      </c>
      <c r="L151" s="39">
        <f t="shared" si="90"/>
        <v>100</v>
      </c>
      <c r="M151" s="15"/>
    </row>
    <row r="152" spans="1:13" s="2" customFormat="1" ht="15.6">
      <c r="A152" s="18" t="s">
        <v>68</v>
      </c>
      <c r="B152" s="16">
        <v>992</v>
      </c>
      <c r="C152" s="28" t="s">
        <v>69</v>
      </c>
      <c r="D152" s="16" t="s">
        <v>154</v>
      </c>
      <c r="E152" s="28" t="s">
        <v>27</v>
      </c>
      <c r="F152" s="39">
        <f>F153+F163</f>
        <v>9090313.7599999998</v>
      </c>
      <c r="G152" s="39">
        <f t="shared" ref="G152:H152" si="96">G153+G163</f>
        <v>7714648.7599999998</v>
      </c>
      <c r="H152" s="39">
        <f t="shared" si="96"/>
        <v>7711261.6799999997</v>
      </c>
      <c r="I152" s="39">
        <f t="shared" si="88"/>
        <v>3387.08</v>
      </c>
      <c r="J152" s="40">
        <f t="shared" si="89"/>
        <v>84.83</v>
      </c>
      <c r="K152" s="39"/>
      <c r="L152" s="39">
        <f t="shared" si="90"/>
        <v>99.96</v>
      </c>
      <c r="M152" s="39"/>
    </row>
    <row r="153" spans="1:13" s="2" customFormat="1" ht="46.8">
      <c r="A153" s="28" t="s">
        <v>365</v>
      </c>
      <c r="B153" s="16">
        <v>992</v>
      </c>
      <c r="C153" s="28" t="s">
        <v>69</v>
      </c>
      <c r="D153" s="16" t="s">
        <v>167</v>
      </c>
      <c r="E153" s="28" t="s">
        <v>27</v>
      </c>
      <c r="F153" s="39">
        <f>F154</f>
        <v>9086926.6799999997</v>
      </c>
      <c r="G153" s="39">
        <f t="shared" ref="G153:H154" si="97">G154</f>
        <v>7711261.6799999997</v>
      </c>
      <c r="H153" s="39">
        <f t="shared" si="97"/>
        <v>7711261.6799999997</v>
      </c>
      <c r="I153" s="39">
        <f t="shared" si="88"/>
        <v>0</v>
      </c>
      <c r="J153" s="40">
        <f t="shared" si="89"/>
        <v>84.86</v>
      </c>
      <c r="K153" s="39"/>
      <c r="L153" s="39">
        <f t="shared" si="90"/>
        <v>100</v>
      </c>
      <c r="M153" s="39"/>
    </row>
    <row r="154" spans="1:13" s="2" customFormat="1" ht="46.8">
      <c r="A154" s="28" t="s">
        <v>366</v>
      </c>
      <c r="B154" s="18">
        <v>992</v>
      </c>
      <c r="C154" s="25" t="s">
        <v>69</v>
      </c>
      <c r="D154" s="18" t="s">
        <v>168</v>
      </c>
      <c r="E154" s="25" t="s">
        <v>27</v>
      </c>
      <c r="F154" s="26">
        <f>F155</f>
        <v>9086926.6799999997</v>
      </c>
      <c r="G154" s="26">
        <f t="shared" si="97"/>
        <v>7711261.6799999997</v>
      </c>
      <c r="H154" s="26">
        <f t="shared" si="97"/>
        <v>7711261.6799999997</v>
      </c>
      <c r="I154" s="26">
        <f t="shared" si="88"/>
        <v>0</v>
      </c>
      <c r="J154" s="27">
        <f t="shared" si="89"/>
        <v>84.86</v>
      </c>
      <c r="K154" s="26"/>
      <c r="L154" s="26">
        <f t="shared" si="90"/>
        <v>100</v>
      </c>
      <c r="M154" s="26"/>
    </row>
    <row r="155" spans="1:13" s="2" customFormat="1" ht="46.8">
      <c r="A155" s="28" t="s">
        <v>367</v>
      </c>
      <c r="B155" s="18">
        <v>992</v>
      </c>
      <c r="C155" s="25" t="s">
        <v>69</v>
      </c>
      <c r="D155" s="18" t="s">
        <v>304</v>
      </c>
      <c r="E155" s="25" t="s">
        <v>27</v>
      </c>
      <c r="F155" s="26">
        <f>F156+F159+F161</f>
        <v>9086926.6799999997</v>
      </c>
      <c r="G155" s="26">
        <f t="shared" ref="G155:H155" si="98">G156+G159+G161</f>
        <v>7711261.6799999997</v>
      </c>
      <c r="H155" s="26">
        <f t="shared" si="98"/>
        <v>7711261.6799999997</v>
      </c>
      <c r="I155" s="26">
        <f t="shared" si="88"/>
        <v>0</v>
      </c>
      <c r="J155" s="27">
        <f t="shared" si="89"/>
        <v>84.86</v>
      </c>
      <c r="K155" s="26"/>
      <c r="L155" s="26">
        <f t="shared" si="90"/>
        <v>100</v>
      </c>
      <c r="M155" s="26"/>
    </row>
    <row r="156" spans="1:13" s="2" customFormat="1" ht="78">
      <c r="A156" s="25" t="s">
        <v>303</v>
      </c>
      <c r="B156" s="18">
        <v>992</v>
      </c>
      <c r="C156" s="25" t="s">
        <v>69</v>
      </c>
      <c r="D156" s="18" t="s">
        <v>302</v>
      </c>
      <c r="E156" s="25" t="s">
        <v>27</v>
      </c>
      <c r="F156" s="39">
        <f>F157+F158</f>
        <v>3983473.92</v>
      </c>
      <c r="G156" s="39">
        <f t="shared" ref="G156:H156" si="99">G157+G158</f>
        <v>4111261.68</v>
      </c>
      <c r="H156" s="39">
        <f t="shared" si="99"/>
        <v>4111261.68</v>
      </c>
      <c r="I156" s="39">
        <f t="shared" si="88"/>
        <v>0</v>
      </c>
      <c r="J156" s="40">
        <f t="shared" si="89"/>
        <v>103.21</v>
      </c>
      <c r="K156" s="39"/>
      <c r="L156" s="39">
        <f t="shared" si="90"/>
        <v>100</v>
      </c>
      <c r="M156" s="39"/>
    </row>
    <row r="157" spans="1:13" s="2" customFormat="1" ht="31.2">
      <c r="A157" s="53" t="s">
        <v>125</v>
      </c>
      <c r="B157" s="16">
        <v>992</v>
      </c>
      <c r="C157" s="28" t="s">
        <v>69</v>
      </c>
      <c r="D157" s="18" t="s">
        <v>302</v>
      </c>
      <c r="E157" s="28" t="s">
        <v>126</v>
      </c>
      <c r="F157" s="55">
        <v>0</v>
      </c>
      <c r="G157" s="55">
        <f t="shared" ref="G157:H157" si="100">340000+3313396.76-212212.24</f>
        <v>3441184.52</v>
      </c>
      <c r="H157" s="55">
        <f t="shared" si="100"/>
        <v>3441184.52</v>
      </c>
      <c r="I157" s="55">
        <f t="shared" si="88"/>
        <v>0</v>
      </c>
      <c r="J157" s="56" t="e">
        <f t="shared" si="89"/>
        <v>#DIV/0!</v>
      </c>
      <c r="K157" s="15"/>
      <c r="L157" s="15">
        <f t="shared" si="90"/>
        <v>100</v>
      </c>
      <c r="M157" s="15"/>
    </row>
    <row r="158" spans="1:13" s="2" customFormat="1" ht="46.8">
      <c r="A158" s="18" t="s">
        <v>111</v>
      </c>
      <c r="B158" s="18">
        <v>992</v>
      </c>
      <c r="C158" s="25" t="s">
        <v>69</v>
      </c>
      <c r="D158" s="18" t="s">
        <v>302</v>
      </c>
      <c r="E158" s="25" t="s">
        <v>89</v>
      </c>
      <c r="F158" s="39">
        <f>3983473.92</f>
        <v>3983473.92</v>
      </c>
      <c r="G158" s="39">
        <f t="shared" ref="G158:H158" si="101">3983473.92-3313396.76</f>
        <v>670077.16</v>
      </c>
      <c r="H158" s="39">
        <f t="shared" si="101"/>
        <v>670077.16</v>
      </c>
      <c r="I158" s="39">
        <f t="shared" si="88"/>
        <v>0</v>
      </c>
      <c r="J158" s="40">
        <f t="shared" si="89"/>
        <v>16.82</v>
      </c>
      <c r="K158" s="39"/>
      <c r="L158" s="39">
        <f t="shared" si="90"/>
        <v>100</v>
      </c>
      <c r="M158" s="39"/>
    </row>
    <row r="159" spans="1:13" s="2" customFormat="1" ht="62.4">
      <c r="A159" s="25" t="s">
        <v>262</v>
      </c>
      <c r="B159" s="18">
        <v>992</v>
      </c>
      <c r="C159" s="25" t="s">
        <v>69</v>
      </c>
      <c r="D159" s="18" t="s">
        <v>263</v>
      </c>
      <c r="E159" s="25" t="s">
        <v>27</v>
      </c>
      <c r="F159" s="39">
        <f t="shared" ref="F159:H159" si="102">F160</f>
        <v>4848280.12</v>
      </c>
      <c r="G159" s="39">
        <f t="shared" si="102"/>
        <v>2880000</v>
      </c>
      <c r="H159" s="39">
        <f t="shared" si="102"/>
        <v>2880000</v>
      </c>
      <c r="I159" s="39">
        <f t="shared" si="88"/>
        <v>0</v>
      </c>
      <c r="J159" s="40">
        <f t="shared" si="89"/>
        <v>59.4</v>
      </c>
      <c r="K159" s="39"/>
      <c r="L159" s="39">
        <f t="shared" si="90"/>
        <v>100</v>
      </c>
      <c r="M159" s="39"/>
    </row>
    <row r="160" spans="1:13" s="2" customFormat="1" ht="140.4">
      <c r="A160" s="18" t="s">
        <v>125</v>
      </c>
      <c r="B160" s="18">
        <v>992</v>
      </c>
      <c r="C160" s="25" t="s">
        <v>69</v>
      </c>
      <c r="D160" s="18" t="s">
        <v>263</v>
      </c>
      <c r="E160" s="25" t="s">
        <v>126</v>
      </c>
      <c r="F160" s="39">
        <f>4848280.12</f>
        <v>4848280.12</v>
      </c>
      <c r="G160" s="39">
        <f t="shared" ref="G160:H160" si="103">4848280.12-1968280.12</f>
        <v>2880000</v>
      </c>
      <c r="H160" s="39">
        <f t="shared" si="103"/>
        <v>2880000</v>
      </c>
      <c r="I160" s="39">
        <f t="shared" si="88"/>
        <v>0</v>
      </c>
      <c r="J160" s="40">
        <f t="shared" si="89"/>
        <v>59.4</v>
      </c>
      <c r="K160" s="15" t="s">
        <v>598</v>
      </c>
      <c r="L160" s="39">
        <f t="shared" si="90"/>
        <v>100</v>
      </c>
      <c r="M160" s="39"/>
    </row>
    <row r="161" spans="1:13" s="2" customFormat="1" ht="62.4">
      <c r="A161" s="25" t="s">
        <v>264</v>
      </c>
      <c r="B161" s="18">
        <v>992</v>
      </c>
      <c r="C161" s="25" t="s">
        <v>69</v>
      </c>
      <c r="D161" s="18" t="s">
        <v>263</v>
      </c>
      <c r="E161" s="25" t="s">
        <v>27</v>
      </c>
      <c r="F161" s="39">
        <f>F162</f>
        <v>255172.64</v>
      </c>
      <c r="G161" s="39">
        <f t="shared" ref="G161:H161" si="104">G162</f>
        <v>720000</v>
      </c>
      <c r="H161" s="39">
        <f t="shared" si="104"/>
        <v>720000</v>
      </c>
      <c r="I161" s="39">
        <f t="shared" si="88"/>
        <v>0</v>
      </c>
      <c r="J161" s="40">
        <f t="shared" si="89"/>
        <v>282.16000000000003</v>
      </c>
      <c r="K161" s="39"/>
      <c r="L161" s="39">
        <f t="shared" si="90"/>
        <v>100</v>
      </c>
      <c r="M161" s="39"/>
    </row>
    <row r="162" spans="1:13" s="2" customFormat="1" ht="140.4">
      <c r="A162" s="18" t="s">
        <v>125</v>
      </c>
      <c r="B162" s="18">
        <v>992</v>
      </c>
      <c r="C162" s="25" t="s">
        <v>69</v>
      </c>
      <c r="D162" s="18" t="s">
        <v>263</v>
      </c>
      <c r="E162" s="25" t="s">
        <v>126</v>
      </c>
      <c r="F162" s="39">
        <f>255172.64</f>
        <v>255172.64</v>
      </c>
      <c r="G162" s="39">
        <f t="shared" ref="G162:H162" si="105">255172.64+1212070.03-255172.64-492070.03</f>
        <v>720000</v>
      </c>
      <c r="H162" s="39">
        <f t="shared" si="105"/>
        <v>720000</v>
      </c>
      <c r="I162" s="39">
        <f t="shared" si="88"/>
        <v>0</v>
      </c>
      <c r="J162" s="40">
        <f t="shared" si="89"/>
        <v>282.16000000000003</v>
      </c>
      <c r="K162" s="15" t="s">
        <v>598</v>
      </c>
      <c r="L162" s="39">
        <f t="shared" si="90"/>
        <v>100</v>
      </c>
      <c r="M162" s="39"/>
    </row>
    <row r="163" spans="1:13" s="2" customFormat="1" ht="62.4">
      <c r="A163" s="46" t="s">
        <v>286</v>
      </c>
      <c r="B163" s="18">
        <v>992</v>
      </c>
      <c r="C163" s="25" t="s">
        <v>69</v>
      </c>
      <c r="D163" s="47" t="s">
        <v>202</v>
      </c>
      <c r="E163" s="25" t="s">
        <v>27</v>
      </c>
      <c r="F163" s="39">
        <f>F164</f>
        <v>3387.08</v>
      </c>
      <c r="G163" s="39">
        <f t="shared" ref="G163:H163" si="106">G164</f>
        <v>3387.08</v>
      </c>
      <c r="H163" s="39">
        <f t="shared" si="106"/>
        <v>0</v>
      </c>
      <c r="I163" s="39">
        <f t="shared" si="88"/>
        <v>3387.08</v>
      </c>
      <c r="J163" s="40">
        <f t="shared" si="89"/>
        <v>0</v>
      </c>
      <c r="K163" s="39"/>
      <c r="L163" s="39">
        <f t="shared" si="90"/>
        <v>0</v>
      </c>
      <c r="M163" s="39"/>
    </row>
    <row r="164" spans="1:13" s="2" customFormat="1" ht="140.4">
      <c r="A164" s="29" t="s">
        <v>125</v>
      </c>
      <c r="B164" s="18">
        <v>992</v>
      </c>
      <c r="C164" s="25" t="s">
        <v>69</v>
      </c>
      <c r="D164" s="47" t="s">
        <v>202</v>
      </c>
      <c r="E164" s="25" t="s">
        <v>126</v>
      </c>
      <c r="F164" s="55">
        <v>3387.08</v>
      </c>
      <c r="G164" s="55">
        <v>3387.08</v>
      </c>
      <c r="H164" s="55">
        <v>0</v>
      </c>
      <c r="I164" s="55">
        <f t="shared" si="88"/>
        <v>3387.08</v>
      </c>
      <c r="J164" s="56">
        <f t="shared" si="89"/>
        <v>0</v>
      </c>
      <c r="K164" s="15" t="s">
        <v>598</v>
      </c>
      <c r="L164" s="15">
        <f t="shared" si="90"/>
        <v>0</v>
      </c>
      <c r="M164" s="15" t="s">
        <v>598</v>
      </c>
    </row>
    <row r="165" spans="1:13" s="2" customFormat="1" ht="15.6">
      <c r="A165" s="18" t="s">
        <v>98</v>
      </c>
      <c r="B165" s="18">
        <v>992</v>
      </c>
      <c r="C165" s="25" t="s">
        <v>99</v>
      </c>
      <c r="D165" s="25" t="s">
        <v>154</v>
      </c>
      <c r="E165" s="25" t="s">
        <v>27</v>
      </c>
      <c r="F165" s="26">
        <f>F166+F180</f>
        <v>150219000</v>
      </c>
      <c r="G165" s="26">
        <f t="shared" ref="G165:H165" si="107">G166+G180</f>
        <v>155334333.28999999</v>
      </c>
      <c r="H165" s="26">
        <f t="shared" si="107"/>
        <v>148811136.61000001</v>
      </c>
      <c r="I165" s="26">
        <f t="shared" si="88"/>
        <v>6523196.6799999997</v>
      </c>
      <c r="J165" s="27">
        <f t="shared" si="89"/>
        <v>99.06</v>
      </c>
      <c r="K165" s="26"/>
      <c r="L165" s="26">
        <f t="shared" si="90"/>
        <v>95.8</v>
      </c>
      <c r="M165" s="26"/>
    </row>
    <row r="166" spans="1:13" s="2" customFormat="1" ht="46.8">
      <c r="A166" s="28" t="s">
        <v>365</v>
      </c>
      <c r="B166" s="18">
        <v>992</v>
      </c>
      <c r="C166" s="25" t="s">
        <v>99</v>
      </c>
      <c r="D166" s="25" t="s">
        <v>167</v>
      </c>
      <c r="E166" s="25" t="s">
        <v>27</v>
      </c>
      <c r="F166" s="26">
        <f t="shared" ref="F166:H166" si="108">F167</f>
        <v>150219000</v>
      </c>
      <c r="G166" s="26">
        <f t="shared" si="108"/>
        <v>155334333.28999999</v>
      </c>
      <c r="H166" s="26">
        <f t="shared" si="108"/>
        <v>148811136.61000001</v>
      </c>
      <c r="I166" s="26">
        <f t="shared" si="88"/>
        <v>6523196.6799999997</v>
      </c>
      <c r="J166" s="27">
        <f t="shared" si="89"/>
        <v>99.06</v>
      </c>
      <c r="K166" s="26"/>
      <c r="L166" s="26">
        <f t="shared" si="90"/>
        <v>95.8</v>
      </c>
      <c r="M166" s="26"/>
    </row>
    <row r="167" spans="1:13" s="2" customFormat="1" ht="46.8">
      <c r="A167" s="25" t="s">
        <v>368</v>
      </c>
      <c r="B167" s="18">
        <v>992</v>
      </c>
      <c r="C167" s="25" t="s">
        <v>99</v>
      </c>
      <c r="D167" s="25" t="s">
        <v>169</v>
      </c>
      <c r="E167" s="25" t="s">
        <v>27</v>
      </c>
      <c r="F167" s="26">
        <f>F168+F173</f>
        <v>150219000</v>
      </c>
      <c r="G167" s="26">
        <f t="shared" ref="G167:H167" si="109">G168+G173</f>
        <v>155334333.28999999</v>
      </c>
      <c r="H167" s="26">
        <f t="shared" si="109"/>
        <v>148811136.61000001</v>
      </c>
      <c r="I167" s="26">
        <f t="shared" si="88"/>
        <v>6523196.6799999997</v>
      </c>
      <c r="J167" s="27">
        <f t="shared" si="89"/>
        <v>99.06</v>
      </c>
      <c r="K167" s="26"/>
      <c r="L167" s="26">
        <f t="shared" si="90"/>
        <v>95.8</v>
      </c>
      <c r="M167" s="26"/>
    </row>
    <row r="168" spans="1:13" s="2" customFormat="1" ht="31.2">
      <c r="A168" s="62" t="s">
        <v>287</v>
      </c>
      <c r="B168" s="18">
        <v>992</v>
      </c>
      <c r="C168" s="25" t="s">
        <v>99</v>
      </c>
      <c r="D168" s="63" t="s">
        <v>213</v>
      </c>
      <c r="E168" s="25" t="s">
        <v>27</v>
      </c>
      <c r="F168" s="26">
        <f>F169+F171</f>
        <v>120000000</v>
      </c>
      <c r="G168" s="26">
        <f t="shared" ref="G168:H168" si="110">G169+G171</f>
        <v>120000000</v>
      </c>
      <c r="H168" s="26">
        <f t="shared" si="110"/>
        <v>120000000</v>
      </c>
      <c r="I168" s="26">
        <f t="shared" si="88"/>
        <v>0</v>
      </c>
      <c r="J168" s="27">
        <f t="shared" si="89"/>
        <v>100</v>
      </c>
      <c r="K168" s="26"/>
      <c r="L168" s="26">
        <f t="shared" si="90"/>
        <v>100</v>
      </c>
      <c r="M168" s="26"/>
    </row>
    <row r="169" spans="1:13" s="2" customFormat="1" ht="46.8">
      <c r="A169" s="64" t="s">
        <v>562</v>
      </c>
      <c r="B169" s="18">
        <v>992</v>
      </c>
      <c r="C169" s="25" t="s">
        <v>99</v>
      </c>
      <c r="D169" s="63" t="s">
        <v>561</v>
      </c>
      <c r="E169" s="25" t="s">
        <v>27</v>
      </c>
      <c r="F169" s="39">
        <f>F170</f>
        <v>108000000</v>
      </c>
      <c r="G169" s="39">
        <f t="shared" ref="G169:H169" si="111">G170</f>
        <v>108000000</v>
      </c>
      <c r="H169" s="39">
        <f t="shared" si="111"/>
        <v>108000000</v>
      </c>
      <c r="I169" s="39">
        <f t="shared" si="88"/>
        <v>0</v>
      </c>
      <c r="J169" s="40">
        <f t="shared" si="89"/>
        <v>100</v>
      </c>
      <c r="K169" s="39"/>
      <c r="L169" s="39">
        <f t="shared" si="90"/>
        <v>100</v>
      </c>
      <c r="M169" s="39"/>
    </row>
    <row r="170" spans="1:13" s="2" customFormat="1" ht="31.2">
      <c r="A170" s="29" t="s">
        <v>125</v>
      </c>
      <c r="B170" s="18">
        <v>992</v>
      </c>
      <c r="C170" s="25" t="s">
        <v>99</v>
      </c>
      <c r="D170" s="63" t="s">
        <v>561</v>
      </c>
      <c r="E170" s="25" t="s">
        <v>126</v>
      </c>
      <c r="F170" s="39">
        <v>108000000</v>
      </c>
      <c r="G170" s="39">
        <v>108000000</v>
      </c>
      <c r="H170" s="39">
        <v>108000000</v>
      </c>
      <c r="I170" s="39">
        <f t="shared" si="88"/>
        <v>0</v>
      </c>
      <c r="J170" s="40">
        <f t="shared" si="89"/>
        <v>100</v>
      </c>
      <c r="K170" s="39"/>
      <c r="L170" s="39">
        <f t="shared" si="90"/>
        <v>100</v>
      </c>
      <c r="M170" s="39"/>
    </row>
    <row r="171" spans="1:13" s="2" customFormat="1" ht="62.4">
      <c r="A171" s="45" t="s">
        <v>563</v>
      </c>
      <c r="B171" s="18">
        <v>992</v>
      </c>
      <c r="C171" s="25" t="s">
        <v>99</v>
      </c>
      <c r="D171" s="63" t="s">
        <v>561</v>
      </c>
      <c r="E171" s="25" t="s">
        <v>27</v>
      </c>
      <c r="F171" s="39">
        <f>F172</f>
        <v>12000000</v>
      </c>
      <c r="G171" s="39">
        <f t="shared" ref="G171:H171" si="112">G172</f>
        <v>12000000</v>
      </c>
      <c r="H171" s="39">
        <f t="shared" si="112"/>
        <v>12000000</v>
      </c>
      <c r="I171" s="39">
        <f t="shared" si="88"/>
        <v>0</v>
      </c>
      <c r="J171" s="40">
        <f t="shared" si="89"/>
        <v>100</v>
      </c>
      <c r="K171" s="39"/>
      <c r="L171" s="39">
        <f t="shared" si="90"/>
        <v>100</v>
      </c>
      <c r="M171" s="39"/>
    </row>
    <row r="172" spans="1:13" s="2" customFormat="1" ht="31.2">
      <c r="A172" s="29" t="s">
        <v>125</v>
      </c>
      <c r="B172" s="18">
        <v>992</v>
      </c>
      <c r="C172" s="25" t="s">
        <v>99</v>
      </c>
      <c r="D172" s="63" t="s">
        <v>561</v>
      </c>
      <c r="E172" s="25" t="s">
        <v>126</v>
      </c>
      <c r="F172" s="39">
        <v>12000000</v>
      </c>
      <c r="G172" s="39">
        <v>12000000</v>
      </c>
      <c r="H172" s="39">
        <v>12000000</v>
      </c>
      <c r="I172" s="39">
        <f t="shared" si="88"/>
        <v>0</v>
      </c>
      <c r="J172" s="40">
        <f t="shared" si="89"/>
        <v>100</v>
      </c>
      <c r="K172" s="39"/>
      <c r="L172" s="39">
        <f t="shared" si="90"/>
        <v>100</v>
      </c>
      <c r="M172" s="39"/>
    </row>
    <row r="173" spans="1:13" s="2" customFormat="1" ht="31.2">
      <c r="A173" s="28" t="s">
        <v>369</v>
      </c>
      <c r="B173" s="18">
        <v>992</v>
      </c>
      <c r="C173" s="25" t="s">
        <v>99</v>
      </c>
      <c r="D173" s="47" t="s">
        <v>190</v>
      </c>
      <c r="E173" s="25" t="s">
        <v>27</v>
      </c>
      <c r="F173" s="26">
        <f>F174+F176+F178</f>
        <v>30219000</v>
      </c>
      <c r="G173" s="26">
        <f t="shared" ref="G173:H173" si="113">G174+G176+G178</f>
        <v>35334333.289999999</v>
      </c>
      <c r="H173" s="26">
        <f t="shared" si="113"/>
        <v>28811136.609999999</v>
      </c>
      <c r="I173" s="26">
        <f t="shared" si="88"/>
        <v>6523196.6799999997</v>
      </c>
      <c r="J173" s="27">
        <f t="shared" si="89"/>
        <v>95.34</v>
      </c>
      <c r="K173" s="26"/>
      <c r="L173" s="26">
        <f t="shared" si="90"/>
        <v>81.540000000000006</v>
      </c>
      <c r="M173" s="26"/>
    </row>
    <row r="174" spans="1:13" s="2" customFormat="1" ht="46.8">
      <c r="A174" s="18" t="s">
        <v>371</v>
      </c>
      <c r="B174" s="18">
        <v>992</v>
      </c>
      <c r="C174" s="25" t="s">
        <v>99</v>
      </c>
      <c r="D174" s="25" t="s">
        <v>170</v>
      </c>
      <c r="E174" s="25" t="s">
        <v>27</v>
      </c>
      <c r="F174" s="39">
        <f>F175</f>
        <v>20907422.010000002</v>
      </c>
      <c r="G174" s="39">
        <f t="shared" ref="G174:H174" si="114">G175</f>
        <v>25906770.789999999</v>
      </c>
      <c r="H174" s="39">
        <f t="shared" si="114"/>
        <v>19383574.109999999</v>
      </c>
      <c r="I174" s="39">
        <f t="shared" si="88"/>
        <v>6523196.6799999997</v>
      </c>
      <c r="J174" s="40">
        <f t="shared" si="89"/>
        <v>92.71</v>
      </c>
      <c r="K174" s="39"/>
      <c r="L174" s="39">
        <f t="shared" si="90"/>
        <v>74.819999999999993</v>
      </c>
      <c r="M174" s="39"/>
    </row>
    <row r="175" spans="1:13" s="2" customFormat="1" ht="31.2">
      <c r="A175" s="29" t="s">
        <v>125</v>
      </c>
      <c r="B175" s="18">
        <v>992</v>
      </c>
      <c r="C175" s="25" t="s">
        <v>99</v>
      </c>
      <c r="D175" s="25" t="s">
        <v>170</v>
      </c>
      <c r="E175" s="25" t="s">
        <v>126</v>
      </c>
      <c r="F175" s="39">
        <v>20907422.010000002</v>
      </c>
      <c r="G175" s="39">
        <v>25906770.789999999</v>
      </c>
      <c r="H175" s="39">
        <v>19383574.109999999</v>
      </c>
      <c r="I175" s="39">
        <f t="shared" si="88"/>
        <v>6523196.6799999997</v>
      </c>
      <c r="J175" s="40">
        <f t="shared" si="89"/>
        <v>92.71</v>
      </c>
      <c r="K175" s="39"/>
      <c r="L175" s="39">
        <f t="shared" si="90"/>
        <v>74.819999999999993</v>
      </c>
      <c r="M175" s="39"/>
    </row>
    <row r="176" spans="1:13" s="2" customFormat="1" ht="46.8">
      <c r="A176" s="46" t="s">
        <v>370</v>
      </c>
      <c r="B176" s="18">
        <v>992</v>
      </c>
      <c r="C176" s="25" t="s">
        <v>99</v>
      </c>
      <c r="D176" s="47" t="s">
        <v>171</v>
      </c>
      <c r="E176" s="25" t="s">
        <v>27</v>
      </c>
      <c r="F176" s="39">
        <f>F177</f>
        <v>9065700</v>
      </c>
      <c r="G176" s="39">
        <f t="shared" ref="G176:H176" si="115">G177</f>
        <v>9427562.5</v>
      </c>
      <c r="H176" s="39">
        <f t="shared" si="115"/>
        <v>9427562.5</v>
      </c>
      <c r="I176" s="39">
        <f t="shared" si="88"/>
        <v>0</v>
      </c>
      <c r="J176" s="40">
        <f t="shared" si="89"/>
        <v>103.99</v>
      </c>
      <c r="K176" s="39"/>
      <c r="L176" s="39">
        <f t="shared" si="90"/>
        <v>100</v>
      </c>
      <c r="M176" s="39"/>
    </row>
    <row r="177" spans="1:13" s="2" customFormat="1" ht="31.2">
      <c r="A177" s="29" t="s">
        <v>125</v>
      </c>
      <c r="B177" s="18">
        <v>992</v>
      </c>
      <c r="C177" s="25" t="s">
        <v>99</v>
      </c>
      <c r="D177" s="47" t="s">
        <v>171</v>
      </c>
      <c r="E177" s="25" t="s">
        <v>126</v>
      </c>
      <c r="F177" s="39">
        <v>9065700</v>
      </c>
      <c r="G177" s="39">
        <v>9427562.5</v>
      </c>
      <c r="H177" s="39">
        <v>9427562.5</v>
      </c>
      <c r="I177" s="39">
        <f t="shared" si="88"/>
        <v>0</v>
      </c>
      <c r="J177" s="40">
        <f t="shared" si="89"/>
        <v>103.99</v>
      </c>
      <c r="K177" s="39"/>
      <c r="L177" s="39">
        <f t="shared" si="90"/>
        <v>100</v>
      </c>
      <c r="M177" s="39"/>
    </row>
    <row r="178" spans="1:13" s="2" customFormat="1" ht="109.2">
      <c r="A178" s="18" t="s">
        <v>466</v>
      </c>
      <c r="B178" s="18">
        <v>992</v>
      </c>
      <c r="C178" s="25" t="s">
        <v>99</v>
      </c>
      <c r="D178" s="25" t="s">
        <v>467</v>
      </c>
      <c r="E178" s="25" t="s">
        <v>27</v>
      </c>
      <c r="F178" s="39">
        <f>F179</f>
        <v>245877.99</v>
      </c>
      <c r="G178" s="39">
        <f t="shared" ref="G178:H178" si="116">G179</f>
        <v>0</v>
      </c>
      <c r="H178" s="39">
        <f t="shared" si="116"/>
        <v>0</v>
      </c>
      <c r="I178" s="39">
        <f t="shared" si="88"/>
        <v>0</v>
      </c>
      <c r="J178" s="40">
        <f t="shared" si="89"/>
        <v>0</v>
      </c>
      <c r="K178" s="39"/>
      <c r="L178" s="39" t="e">
        <f t="shared" si="90"/>
        <v>#DIV/0!</v>
      </c>
      <c r="M178" s="39"/>
    </row>
    <row r="179" spans="1:13" s="2" customFormat="1" ht="140.4">
      <c r="A179" s="29" t="s">
        <v>443</v>
      </c>
      <c r="B179" s="18">
        <v>992</v>
      </c>
      <c r="C179" s="25" t="s">
        <v>99</v>
      </c>
      <c r="D179" s="25" t="s">
        <v>467</v>
      </c>
      <c r="E179" s="25" t="s">
        <v>133</v>
      </c>
      <c r="F179" s="39">
        <f>245877.99</f>
        <v>245877.99</v>
      </c>
      <c r="G179" s="39">
        <f t="shared" ref="G179:H179" si="117">245877.99-245877.99</f>
        <v>0</v>
      </c>
      <c r="H179" s="39">
        <f t="shared" si="117"/>
        <v>0</v>
      </c>
      <c r="I179" s="39">
        <f t="shared" si="88"/>
        <v>0</v>
      </c>
      <c r="J179" s="40">
        <f t="shared" si="89"/>
        <v>0</v>
      </c>
      <c r="K179" s="15" t="s">
        <v>598</v>
      </c>
      <c r="L179" s="39" t="e">
        <f t="shared" si="90"/>
        <v>#DIV/0!</v>
      </c>
      <c r="M179" s="15" t="s">
        <v>598</v>
      </c>
    </row>
    <row r="180" spans="1:13" s="2" customFormat="1" ht="46.8">
      <c r="A180" s="25" t="s">
        <v>358</v>
      </c>
      <c r="B180" s="16">
        <v>992</v>
      </c>
      <c r="C180" s="28" t="s">
        <v>99</v>
      </c>
      <c r="D180" s="28" t="s">
        <v>155</v>
      </c>
      <c r="E180" s="28" t="s">
        <v>27</v>
      </c>
      <c r="F180" s="39">
        <f>F181</f>
        <v>0</v>
      </c>
      <c r="G180" s="39">
        <f t="shared" ref="G180:H183" si="118">G181</f>
        <v>0</v>
      </c>
      <c r="H180" s="39">
        <f t="shared" si="118"/>
        <v>0</v>
      </c>
      <c r="I180" s="39">
        <f t="shared" si="88"/>
        <v>0</v>
      </c>
      <c r="J180" s="40" t="e">
        <f t="shared" si="89"/>
        <v>#DIV/0!</v>
      </c>
      <c r="K180" s="39"/>
      <c r="L180" s="39" t="e">
        <f t="shared" si="90"/>
        <v>#DIV/0!</v>
      </c>
      <c r="M180" s="39"/>
    </row>
    <row r="181" spans="1:13" s="2" customFormat="1" ht="31.2">
      <c r="A181" s="18" t="s">
        <v>356</v>
      </c>
      <c r="B181" s="16">
        <v>992</v>
      </c>
      <c r="C181" s="28" t="s">
        <v>99</v>
      </c>
      <c r="D181" s="28" t="s">
        <v>284</v>
      </c>
      <c r="E181" s="28" t="s">
        <v>27</v>
      </c>
      <c r="F181" s="39">
        <f>F182</f>
        <v>0</v>
      </c>
      <c r="G181" s="39">
        <f t="shared" si="118"/>
        <v>0</v>
      </c>
      <c r="H181" s="39">
        <f t="shared" si="118"/>
        <v>0</v>
      </c>
      <c r="I181" s="39">
        <f t="shared" si="88"/>
        <v>0</v>
      </c>
      <c r="J181" s="40" t="e">
        <f t="shared" si="89"/>
        <v>#DIV/0!</v>
      </c>
      <c r="K181" s="39"/>
      <c r="L181" s="39" t="e">
        <f t="shared" si="90"/>
        <v>#DIV/0!</v>
      </c>
      <c r="M181" s="39"/>
    </row>
    <row r="182" spans="1:13" s="2" customFormat="1" ht="15.6">
      <c r="A182" s="18" t="s">
        <v>357</v>
      </c>
      <c r="B182" s="16">
        <v>992</v>
      </c>
      <c r="C182" s="28" t="s">
        <v>99</v>
      </c>
      <c r="D182" s="28" t="s">
        <v>281</v>
      </c>
      <c r="E182" s="28" t="s">
        <v>27</v>
      </c>
      <c r="F182" s="39">
        <f>F183</f>
        <v>0</v>
      </c>
      <c r="G182" s="39">
        <f t="shared" si="118"/>
        <v>0</v>
      </c>
      <c r="H182" s="39">
        <f t="shared" si="118"/>
        <v>0</v>
      </c>
      <c r="I182" s="39">
        <f t="shared" si="88"/>
        <v>0</v>
      </c>
      <c r="J182" s="40" t="e">
        <f t="shared" si="89"/>
        <v>#DIV/0!</v>
      </c>
      <c r="K182" s="39"/>
      <c r="L182" s="39" t="e">
        <f t="shared" si="90"/>
        <v>#DIV/0!</v>
      </c>
      <c r="M182" s="39"/>
    </row>
    <row r="183" spans="1:13" s="1" customFormat="1" ht="31.2">
      <c r="A183" s="46" t="s">
        <v>359</v>
      </c>
      <c r="B183" s="18">
        <v>992</v>
      </c>
      <c r="C183" s="28" t="s">
        <v>99</v>
      </c>
      <c r="D183" s="18" t="s">
        <v>222</v>
      </c>
      <c r="E183" s="48" t="s">
        <v>27</v>
      </c>
      <c r="F183" s="39">
        <f>F184</f>
        <v>0</v>
      </c>
      <c r="G183" s="39">
        <f t="shared" si="118"/>
        <v>0</v>
      </c>
      <c r="H183" s="39">
        <f t="shared" si="118"/>
        <v>0</v>
      </c>
      <c r="I183" s="39">
        <f t="shared" si="88"/>
        <v>0</v>
      </c>
      <c r="J183" s="40" t="e">
        <f t="shared" si="89"/>
        <v>#DIV/0!</v>
      </c>
      <c r="K183" s="39"/>
      <c r="L183" s="39" t="e">
        <f t="shared" si="90"/>
        <v>#DIV/0!</v>
      </c>
      <c r="M183" s="39"/>
    </row>
    <row r="184" spans="1:13" s="1" customFormat="1" ht="140.4">
      <c r="A184" s="29" t="s">
        <v>125</v>
      </c>
      <c r="B184" s="18">
        <v>992</v>
      </c>
      <c r="C184" s="28" t="s">
        <v>99</v>
      </c>
      <c r="D184" s="18" t="s">
        <v>222</v>
      </c>
      <c r="E184" s="48" t="s">
        <v>126</v>
      </c>
      <c r="F184" s="39">
        <v>0</v>
      </c>
      <c r="G184" s="39">
        <v>0</v>
      </c>
      <c r="H184" s="39">
        <v>0</v>
      </c>
      <c r="I184" s="39">
        <f t="shared" si="88"/>
        <v>0</v>
      </c>
      <c r="J184" s="40" t="e">
        <f t="shared" si="89"/>
        <v>#DIV/0!</v>
      </c>
      <c r="K184" s="15" t="s">
        <v>599</v>
      </c>
      <c r="L184" s="39" t="e">
        <f t="shared" si="90"/>
        <v>#DIV/0!</v>
      </c>
      <c r="M184" s="15"/>
    </row>
    <row r="185" spans="1:13" s="2" customFormat="1" ht="15.6">
      <c r="A185" s="60" t="s">
        <v>296</v>
      </c>
      <c r="B185" s="16">
        <v>992</v>
      </c>
      <c r="C185" s="28" t="s">
        <v>297</v>
      </c>
      <c r="D185" s="16" t="s">
        <v>154</v>
      </c>
      <c r="E185" s="65" t="s">
        <v>27</v>
      </c>
      <c r="F185" s="39">
        <f>F186</f>
        <v>4016.6</v>
      </c>
      <c r="G185" s="39">
        <f t="shared" ref="G185:H189" si="119">G186</f>
        <v>4016</v>
      </c>
      <c r="H185" s="39">
        <f t="shared" si="119"/>
        <v>4016</v>
      </c>
      <c r="I185" s="39">
        <f t="shared" si="88"/>
        <v>0</v>
      </c>
      <c r="J185" s="40">
        <f t="shared" si="89"/>
        <v>99.99</v>
      </c>
      <c r="K185" s="39"/>
      <c r="L185" s="39">
        <f t="shared" si="90"/>
        <v>100</v>
      </c>
      <c r="M185" s="39"/>
    </row>
    <row r="186" spans="1:13" s="2" customFormat="1" ht="62.4">
      <c r="A186" s="28" t="s">
        <v>372</v>
      </c>
      <c r="B186" s="16">
        <v>992</v>
      </c>
      <c r="C186" s="28" t="s">
        <v>297</v>
      </c>
      <c r="D186" s="47" t="s">
        <v>174</v>
      </c>
      <c r="E186" s="65" t="s">
        <v>27</v>
      </c>
      <c r="F186" s="39">
        <f>F187</f>
        <v>4016.6</v>
      </c>
      <c r="G186" s="39">
        <f t="shared" si="119"/>
        <v>4016</v>
      </c>
      <c r="H186" s="39">
        <f t="shared" si="119"/>
        <v>4016</v>
      </c>
      <c r="I186" s="39">
        <f t="shared" si="88"/>
        <v>0</v>
      </c>
      <c r="J186" s="40">
        <f t="shared" si="89"/>
        <v>99.99</v>
      </c>
      <c r="K186" s="39"/>
      <c r="L186" s="39">
        <f t="shared" si="90"/>
        <v>100</v>
      </c>
      <c r="M186" s="39"/>
    </row>
    <row r="187" spans="1:13" s="2" customFormat="1" ht="46.8">
      <c r="A187" s="28" t="s">
        <v>373</v>
      </c>
      <c r="B187" s="16">
        <v>992</v>
      </c>
      <c r="C187" s="28" t="s">
        <v>297</v>
      </c>
      <c r="D187" s="47" t="s">
        <v>298</v>
      </c>
      <c r="E187" s="65" t="s">
        <v>27</v>
      </c>
      <c r="F187" s="39">
        <f>F188</f>
        <v>4016.6</v>
      </c>
      <c r="G187" s="39">
        <f t="shared" si="119"/>
        <v>4016</v>
      </c>
      <c r="H187" s="39">
        <f t="shared" si="119"/>
        <v>4016</v>
      </c>
      <c r="I187" s="39">
        <f t="shared" si="88"/>
        <v>0</v>
      </c>
      <c r="J187" s="40">
        <f t="shared" si="89"/>
        <v>99.99</v>
      </c>
      <c r="K187" s="39"/>
      <c r="L187" s="39">
        <f t="shared" si="90"/>
        <v>100</v>
      </c>
      <c r="M187" s="39"/>
    </row>
    <row r="188" spans="1:13" s="2" customFormat="1" ht="31.2">
      <c r="A188" s="46" t="s">
        <v>299</v>
      </c>
      <c r="B188" s="16">
        <v>992</v>
      </c>
      <c r="C188" s="28" t="s">
        <v>297</v>
      </c>
      <c r="D188" s="47" t="s">
        <v>300</v>
      </c>
      <c r="E188" s="65" t="s">
        <v>27</v>
      </c>
      <c r="F188" s="39">
        <f>F189</f>
        <v>4016.6</v>
      </c>
      <c r="G188" s="39">
        <f t="shared" si="119"/>
        <v>4016</v>
      </c>
      <c r="H188" s="39">
        <f t="shared" si="119"/>
        <v>4016</v>
      </c>
      <c r="I188" s="39">
        <f t="shared" si="88"/>
        <v>0</v>
      </c>
      <c r="J188" s="40">
        <f t="shared" si="89"/>
        <v>99.99</v>
      </c>
      <c r="K188" s="39"/>
      <c r="L188" s="39">
        <f t="shared" si="90"/>
        <v>100</v>
      </c>
      <c r="M188" s="39"/>
    </row>
    <row r="189" spans="1:13" s="2" customFormat="1" ht="31.2">
      <c r="A189" s="46" t="s">
        <v>301</v>
      </c>
      <c r="B189" s="16">
        <v>992</v>
      </c>
      <c r="C189" s="28" t="s">
        <v>297</v>
      </c>
      <c r="D189" s="47" t="s">
        <v>515</v>
      </c>
      <c r="E189" s="65" t="s">
        <v>27</v>
      </c>
      <c r="F189" s="39">
        <f>F190</f>
        <v>4016.6</v>
      </c>
      <c r="G189" s="39">
        <f t="shared" si="119"/>
        <v>4016</v>
      </c>
      <c r="H189" s="39">
        <f t="shared" si="119"/>
        <v>4016</v>
      </c>
      <c r="I189" s="39">
        <f t="shared" si="88"/>
        <v>0</v>
      </c>
      <c r="J189" s="40">
        <f t="shared" si="89"/>
        <v>99.99</v>
      </c>
      <c r="K189" s="39"/>
      <c r="L189" s="39">
        <f t="shared" si="90"/>
        <v>100</v>
      </c>
      <c r="M189" s="39"/>
    </row>
    <row r="190" spans="1:13" s="2" customFormat="1" ht="31.2">
      <c r="A190" s="53" t="s">
        <v>125</v>
      </c>
      <c r="B190" s="16">
        <v>992</v>
      </c>
      <c r="C190" s="28" t="s">
        <v>297</v>
      </c>
      <c r="D190" s="47" t="s">
        <v>515</v>
      </c>
      <c r="E190" s="65" t="s">
        <v>126</v>
      </c>
      <c r="F190" s="39">
        <f>4016.6</f>
        <v>4016.6</v>
      </c>
      <c r="G190" s="39">
        <f t="shared" ref="G190:H190" si="120">4016.6-0.6</f>
        <v>4016</v>
      </c>
      <c r="H190" s="39">
        <f t="shared" si="120"/>
        <v>4016</v>
      </c>
      <c r="I190" s="39">
        <f t="shared" si="88"/>
        <v>0</v>
      </c>
      <c r="J190" s="40">
        <f t="shared" si="89"/>
        <v>99.99</v>
      </c>
      <c r="K190" s="39"/>
      <c r="L190" s="39">
        <f t="shared" si="90"/>
        <v>100</v>
      </c>
      <c r="M190" s="39"/>
    </row>
    <row r="191" spans="1:13" s="2" customFormat="1" ht="15.6">
      <c r="A191" s="59" t="s">
        <v>143</v>
      </c>
      <c r="B191" s="21">
        <v>992</v>
      </c>
      <c r="C191" s="66" t="s">
        <v>144</v>
      </c>
      <c r="D191" s="59" t="s">
        <v>154</v>
      </c>
      <c r="E191" s="67" t="s">
        <v>27</v>
      </c>
      <c r="F191" s="30">
        <f>F192+F214+F286+F251</f>
        <v>71414481.079999998</v>
      </c>
      <c r="G191" s="30">
        <f t="shared" ref="G191:H191" si="121">G192+G214+G286+G251</f>
        <v>115829960.39</v>
      </c>
      <c r="H191" s="30">
        <f t="shared" si="121"/>
        <v>105464180.23</v>
      </c>
      <c r="I191" s="30">
        <f t="shared" si="88"/>
        <v>10365780.16</v>
      </c>
      <c r="J191" s="31">
        <f t="shared" si="89"/>
        <v>147.68</v>
      </c>
      <c r="K191" s="30"/>
      <c r="L191" s="30">
        <f t="shared" si="90"/>
        <v>91.05</v>
      </c>
      <c r="M191" s="30"/>
    </row>
    <row r="192" spans="1:13" s="2" customFormat="1" ht="15.6">
      <c r="A192" s="28" t="s">
        <v>145</v>
      </c>
      <c r="B192" s="18">
        <v>992</v>
      </c>
      <c r="C192" s="25" t="s">
        <v>146</v>
      </c>
      <c r="D192" s="18" t="s">
        <v>154</v>
      </c>
      <c r="E192" s="25" t="s">
        <v>27</v>
      </c>
      <c r="F192" s="26">
        <f>F193+F207</f>
        <v>11691200.470000001</v>
      </c>
      <c r="G192" s="26">
        <f t="shared" ref="G192:H192" si="122">G193+G207</f>
        <v>17654385.399999999</v>
      </c>
      <c r="H192" s="26">
        <f t="shared" si="122"/>
        <v>16184726.01</v>
      </c>
      <c r="I192" s="26">
        <f t="shared" si="88"/>
        <v>1469659.39</v>
      </c>
      <c r="J192" s="27">
        <f t="shared" si="89"/>
        <v>138.44</v>
      </c>
      <c r="K192" s="26"/>
      <c r="L192" s="26">
        <f t="shared" si="90"/>
        <v>91.68</v>
      </c>
      <c r="M192" s="26"/>
    </row>
    <row r="193" spans="1:13" s="2" customFormat="1" ht="62.4">
      <c r="A193" s="16" t="s">
        <v>385</v>
      </c>
      <c r="B193" s="18">
        <v>992</v>
      </c>
      <c r="C193" s="25" t="s">
        <v>146</v>
      </c>
      <c r="D193" s="18" t="s">
        <v>175</v>
      </c>
      <c r="E193" s="25" t="s">
        <v>27</v>
      </c>
      <c r="F193" s="26">
        <f>F194</f>
        <v>7691200.4699999997</v>
      </c>
      <c r="G193" s="26">
        <f t="shared" ref="G193:H193" si="123">G194</f>
        <v>9103460.2300000004</v>
      </c>
      <c r="H193" s="26">
        <f t="shared" si="123"/>
        <v>8518995.2400000002</v>
      </c>
      <c r="I193" s="26">
        <f t="shared" si="88"/>
        <v>584464.99</v>
      </c>
      <c r="J193" s="27">
        <f t="shared" si="89"/>
        <v>110.76</v>
      </c>
      <c r="K193" s="26"/>
      <c r="L193" s="26">
        <f t="shared" si="90"/>
        <v>93.58</v>
      </c>
      <c r="M193" s="26"/>
    </row>
    <row r="194" spans="1:13" s="2" customFormat="1" ht="46.8">
      <c r="A194" s="68" t="s">
        <v>432</v>
      </c>
      <c r="B194" s="18">
        <v>992</v>
      </c>
      <c r="C194" s="25" t="s">
        <v>146</v>
      </c>
      <c r="D194" s="47" t="s">
        <v>183</v>
      </c>
      <c r="E194" s="48" t="s">
        <v>27</v>
      </c>
      <c r="F194" s="39">
        <f>F195+F203</f>
        <v>7691200.4699999997</v>
      </c>
      <c r="G194" s="39">
        <f t="shared" ref="G194:H194" si="124">G195+G203</f>
        <v>9103460.2300000004</v>
      </c>
      <c r="H194" s="39">
        <f t="shared" si="124"/>
        <v>8518995.2400000002</v>
      </c>
      <c r="I194" s="39">
        <f t="shared" si="88"/>
        <v>584464.99</v>
      </c>
      <c r="J194" s="40">
        <f t="shared" si="89"/>
        <v>110.76</v>
      </c>
      <c r="K194" s="39"/>
      <c r="L194" s="39">
        <f t="shared" si="90"/>
        <v>93.58</v>
      </c>
      <c r="M194" s="39"/>
    </row>
    <row r="195" spans="1:13" s="2" customFormat="1" ht="31.2">
      <c r="A195" s="68" t="s">
        <v>433</v>
      </c>
      <c r="B195" s="18">
        <v>992</v>
      </c>
      <c r="C195" s="25" t="s">
        <v>146</v>
      </c>
      <c r="D195" s="47" t="s">
        <v>434</v>
      </c>
      <c r="E195" s="48" t="s">
        <v>27</v>
      </c>
      <c r="F195" s="39">
        <f>F196+F198+F201</f>
        <v>4487200.47</v>
      </c>
      <c r="G195" s="39">
        <f t="shared" ref="G195:H195" si="125">G196+G198+G201</f>
        <v>4964291.7</v>
      </c>
      <c r="H195" s="39">
        <f t="shared" si="125"/>
        <v>4749680.5599999996</v>
      </c>
      <c r="I195" s="39">
        <f t="shared" si="88"/>
        <v>214611.14</v>
      </c>
      <c r="J195" s="40">
        <f t="shared" si="89"/>
        <v>105.85</v>
      </c>
      <c r="K195" s="39"/>
      <c r="L195" s="39">
        <f t="shared" si="90"/>
        <v>95.68</v>
      </c>
      <c r="M195" s="39"/>
    </row>
    <row r="196" spans="1:13" s="2" customFormat="1" ht="31.2">
      <c r="A196" s="46" t="s">
        <v>198</v>
      </c>
      <c r="B196" s="18">
        <v>992</v>
      </c>
      <c r="C196" s="25" t="s">
        <v>146</v>
      </c>
      <c r="D196" s="46" t="s">
        <v>199</v>
      </c>
      <c r="E196" s="48" t="s">
        <v>27</v>
      </c>
      <c r="F196" s="39">
        <f>F197</f>
        <v>850000</v>
      </c>
      <c r="G196" s="39">
        <f t="shared" ref="G196:H196" si="126">G197</f>
        <v>55922.44</v>
      </c>
      <c r="H196" s="39">
        <f t="shared" si="126"/>
        <v>50520.65</v>
      </c>
      <c r="I196" s="39">
        <f t="shared" si="88"/>
        <v>5401.79</v>
      </c>
      <c r="J196" s="40">
        <f t="shared" si="89"/>
        <v>5.94</v>
      </c>
      <c r="K196" s="39"/>
      <c r="L196" s="39">
        <f t="shared" si="90"/>
        <v>90.34</v>
      </c>
      <c r="M196" s="39"/>
    </row>
    <row r="197" spans="1:13" s="2" customFormat="1" ht="46.8">
      <c r="A197" s="18" t="s">
        <v>111</v>
      </c>
      <c r="B197" s="18">
        <v>992</v>
      </c>
      <c r="C197" s="25" t="s">
        <v>146</v>
      </c>
      <c r="D197" s="46" t="s">
        <v>199</v>
      </c>
      <c r="E197" s="48" t="s">
        <v>89</v>
      </c>
      <c r="F197" s="26">
        <f>850000</f>
        <v>850000</v>
      </c>
      <c r="G197" s="26">
        <v>55922.44</v>
      </c>
      <c r="H197" s="26">
        <v>50520.65</v>
      </c>
      <c r="I197" s="26">
        <f t="shared" si="88"/>
        <v>5401.79</v>
      </c>
      <c r="J197" s="27">
        <f t="shared" si="89"/>
        <v>5.94</v>
      </c>
      <c r="K197" s="26"/>
      <c r="L197" s="26">
        <f t="shared" si="90"/>
        <v>90.34</v>
      </c>
      <c r="M197" s="26"/>
    </row>
    <row r="198" spans="1:13" s="2" customFormat="1" ht="46.8">
      <c r="A198" s="46" t="s">
        <v>437</v>
      </c>
      <c r="B198" s="18">
        <v>992</v>
      </c>
      <c r="C198" s="25" t="s">
        <v>146</v>
      </c>
      <c r="D198" s="46" t="s">
        <v>436</v>
      </c>
      <c r="E198" s="48" t="s">
        <v>27</v>
      </c>
      <c r="F198" s="39">
        <f>F199+F200</f>
        <v>2637200.4700000002</v>
      </c>
      <c r="G198" s="39">
        <f t="shared" ref="G198:H198" si="127">G199+G200</f>
        <v>4908369.26</v>
      </c>
      <c r="H198" s="39">
        <f t="shared" si="127"/>
        <v>4699159.91</v>
      </c>
      <c r="I198" s="39">
        <f t="shared" si="88"/>
        <v>209209.35</v>
      </c>
      <c r="J198" s="40">
        <f t="shared" si="89"/>
        <v>178.19</v>
      </c>
      <c r="K198" s="39"/>
      <c r="L198" s="39">
        <f t="shared" si="90"/>
        <v>95.74</v>
      </c>
      <c r="M198" s="39"/>
    </row>
    <row r="199" spans="1:13" s="2" customFormat="1" ht="62.4">
      <c r="A199" s="18" t="s">
        <v>249</v>
      </c>
      <c r="B199" s="18">
        <v>992</v>
      </c>
      <c r="C199" s="25" t="s">
        <v>146</v>
      </c>
      <c r="D199" s="46" t="s">
        <v>436</v>
      </c>
      <c r="E199" s="48" t="s">
        <v>116</v>
      </c>
      <c r="F199" s="39">
        <f>100000</f>
        <v>100000</v>
      </c>
      <c r="G199" s="39">
        <v>277045.36</v>
      </c>
      <c r="H199" s="39">
        <v>271745.21999999997</v>
      </c>
      <c r="I199" s="39">
        <f t="shared" si="88"/>
        <v>5300.14</v>
      </c>
      <c r="J199" s="40">
        <f t="shared" si="89"/>
        <v>271.75</v>
      </c>
      <c r="K199" s="39"/>
      <c r="L199" s="39">
        <f t="shared" si="90"/>
        <v>98.09</v>
      </c>
      <c r="M199" s="39"/>
    </row>
    <row r="200" spans="1:13" s="2" customFormat="1" ht="46.8">
      <c r="A200" s="18" t="s">
        <v>111</v>
      </c>
      <c r="B200" s="18">
        <v>992</v>
      </c>
      <c r="C200" s="25" t="s">
        <v>146</v>
      </c>
      <c r="D200" s="46" t="s">
        <v>436</v>
      </c>
      <c r="E200" s="48" t="s">
        <v>89</v>
      </c>
      <c r="F200" s="26">
        <f>2537200.47</f>
        <v>2537200.4700000002</v>
      </c>
      <c r="G200" s="26">
        <f>2537200.47-200000+2000000+294123.43</f>
        <v>4631323.9000000004</v>
      </c>
      <c r="H200" s="26">
        <v>4427414.6900000004</v>
      </c>
      <c r="I200" s="26">
        <f t="shared" si="88"/>
        <v>203909.21</v>
      </c>
      <c r="J200" s="27">
        <f t="shared" si="89"/>
        <v>174.5</v>
      </c>
      <c r="K200" s="26"/>
      <c r="L200" s="26">
        <f t="shared" si="90"/>
        <v>95.6</v>
      </c>
      <c r="M200" s="26"/>
    </row>
    <row r="201" spans="1:13" s="2" customFormat="1" ht="46.8">
      <c r="A201" s="46" t="s">
        <v>521</v>
      </c>
      <c r="B201" s="18">
        <v>992</v>
      </c>
      <c r="C201" s="25" t="s">
        <v>146</v>
      </c>
      <c r="D201" s="46" t="s">
        <v>435</v>
      </c>
      <c r="E201" s="48" t="s">
        <v>27</v>
      </c>
      <c r="F201" s="39">
        <f>F202</f>
        <v>1000000</v>
      </c>
      <c r="G201" s="39">
        <f t="shared" ref="G201:H201" si="128">G202</f>
        <v>0</v>
      </c>
      <c r="H201" s="39">
        <f t="shared" si="128"/>
        <v>0</v>
      </c>
      <c r="I201" s="39">
        <f t="shared" si="88"/>
        <v>0</v>
      </c>
      <c r="J201" s="40">
        <f t="shared" si="89"/>
        <v>0</v>
      </c>
      <c r="K201" s="39"/>
      <c r="L201" s="39" t="e">
        <f t="shared" si="90"/>
        <v>#DIV/0!</v>
      </c>
      <c r="M201" s="39"/>
    </row>
    <row r="202" spans="1:13" s="2" customFormat="1" ht="31.2">
      <c r="A202" s="18" t="s">
        <v>136</v>
      </c>
      <c r="B202" s="18">
        <v>992</v>
      </c>
      <c r="C202" s="25" t="s">
        <v>146</v>
      </c>
      <c r="D202" s="46" t="s">
        <v>435</v>
      </c>
      <c r="E202" s="48" t="s">
        <v>137</v>
      </c>
      <c r="F202" s="39">
        <f>1000000</f>
        <v>1000000</v>
      </c>
      <c r="G202" s="39">
        <f t="shared" ref="G202:H202" si="129">1000000-900000-100000</f>
        <v>0</v>
      </c>
      <c r="H202" s="39">
        <f t="shared" si="129"/>
        <v>0</v>
      </c>
      <c r="I202" s="39">
        <f t="shared" si="88"/>
        <v>0</v>
      </c>
      <c r="J202" s="40">
        <f t="shared" si="89"/>
        <v>0</v>
      </c>
      <c r="K202" s="39"/>
      <c r="L202" s="39" t="e">
        <f t="shared" si="90"/>
        <v>#DIV/0!</v>
      </c>
      <c r="M202" s="39"/>
    </row>
    <row r="203" spans="1:13" s="2" customFormat="1" ht="31.2">
      <c r="A203" s="68" t="s">
        <v>438</v>
      </c>
      <c r="B203" s="18">
        <v>992</v>
      </c>
      <c r="C203" s="25" t="s">
        <v>146</v>
      </c>
      <c r="D203" s="47" t="s">
        <v>439</v>
      </c>
      <c r="E203" s="48" t="s">
        <v>27</v>
      </c>
      <c r="F203" s="39">
        <f>F205</f>
        <v>3204000</v>
      </c>
      <c r="G203" s="39">
        <f t="shared" ref="G203:H203" si="130">G205</f>
        <v>4139168.53</v>
      </c>
      <c r="H203" s="39">
        <f t="shared" si="130"/>
        <v>3769314.68</v>
      </c>
      <c r="I203" s="39">
        <f t="shared" si="88"/>
        <v>369853.85</v>
      </c>
      <c r="J203" s="40">
        <f t="shared" si="89"/>
        <v>117.64</v>
      </c>
      <c r="K203" s="39"/>
      <c r="L203" s="39">
        <f t="shared" si="90"/>
        <v>91.06</v>
      </c>
      <c r="M203" s="39"/>
    </row>
    <row r="204" spans="1:13" s="2" customFormat="1" ht="46.8">
      <c r="A204" s="68" t="s">
        <v>442</v>
      </c>
      <c r="B204" s="18">
        <v>992</v>
      </c>
      <c r="C204" s="25" t="s">
        <v>146</v>
      </c>
      <c r="D204" s="47" t="s">
        <v>440</v>
      </c>
      <c r="E204" s="48" t="s">
        <v>27</v>
      </c>
      <c r="F204" s="39">
        <f>F205</f>
        <v>3204000</v>
      </c>
      <c r="G204" s="39">
        <f t="shared" ref="G204:H205" si="131">G205</f>
        <v>4139168.53</v>
      </c>
      <c r="H204" s="39">
        <f t="shared" si="131"/>
        <v>3769314.68</v>
      </c>
      <c r="I204" s="39">
        <f t="shared" ref="I204:I267" si="132">$G204-$H204</f>
        <v>369853.85</v>
      </c>
      <c r="J204" s="40">
        <f t="shared" ref="J204:J267" si="133">$H204/$F204*100</f>
        <v>117.64</v>
      </c>
      <c r="K204" s="39"/>
      <c r="L204" s="39">
        <f t="shared" ref="L204:L267" si="134">$H204/$G204*100</f>
        <v>91.06</v>
      </c>
      <c r="M204" s="39"/>
    </row>
    <row r="205" spans="1:13" s="1" customFormat="1" ht="46.8">
      <c r="A205" s="60" t="s">
        <v>150</v>
      </c>
      <c r="B205" s="18">
        <v>992</v>
      </c>
      <c r="C205" s="25" t="s">
        <v>146</v>
      </c>
      <c r="D205" s="18" t="s">
        <v>441</v>
      </c>
      <c r="E205" s="48" t="s">
        <v>27</v>
      </c>
      <c r="F205" s="39">
        <f>F206</f>
        <v>3204000</v>
      </c>
      <c r="G205" s="39">
        <f t="shared" si="131"/>
        <v>4139168.53</v>
      </c>
      <c r="H205" s="39">
        <f t="shared" si="131"/>
        <v>3769314.68</v>
      </c>
      <c r="I205" s="39">
        <f t="shared" si="132"/>
        <v>369853.85</v>
      </c>
      <c r="J205" s="40">
        <f t="shared" si="133"/>
        <v>117.64</v>
      </c>
      <c r="K205" s="39"/>
      <c r="L205" s="39">
        <f t="shared" si="134"/>
        <v>91.06</v>
      </c>
      <c r="M205" s="39"/>
    </row>
    <row r="206" spans="1:13" s="1" customFormat="1" ht="31.2">
      <c r="A206" s="29" t="s">
        <v>125</v>
      </c>
      <c r="B206" s="18">
        <v>992</v>
      </c>
      <c r="C206" s="25" t="s">
        <v>146</v>
      </c>
      <c r="D206" s="18" t="s">
        <v>441</v>
      </c>
      <c r="E206" s="48" t="s">
        <v>126</v>
      </c>
      <c r="F206" s="39">
        <f>3204000</f>
        <v>3204000</v>
      </c>
      <c r="G206" s="39">
        <f>3204000+300000+635168.53</f>
        <v>4139168.53</v>
      </c>
      <c r="H206" s="39">
        <v>3769314.68</v>
      </c>
      <c r="I206" s="39">
        <f t="shared" si="132"/>
        <v>369853.85</v>
      </c>
      <c r="J206" s="40">
        <f t="shared" si="133"/>
        <v>117.64</v>
      </c>
      <c r="K206" s="39"/>
      <c r="L206" s="39">
        <f t="shared" si="134"/>
        <v>91.06</v>
      </c>
      <c r="M206" s="39"/>
    </row>
    <row r="207" spans="1:13" s="2" customFormat="1" ht="46.8">
      <c r="A207" s="25" t="s">
        <v>358</v>
      </c>
      <c r="B207" s="16">
        <v>992</v>
      </c>
      <c r="C207" s="28" t="s">
        <v>146</v>
      </c>
      <c r="D207" s="28" t="s">
        <v>155</v>
      </c>
      <c r="E207" s="28" t="s">
        <v>27</v>
      </c>
      <c r="F207" s="39">
        <f>F208</f>
        <v>4000000</v>
      </c>
      <c r="G207" s="39">
        <f t="shared" ref="G207:H208" si="135">G208</f>
        <v>8550925.1699999999</v>
      </c>
      <c r="H207" s="39">
        <f t="shared" si="135"/>
        <v>7665730.7699999996</v>
      </c>
      <c r="I207" s="39">
        <f t="shared" si="132"/>
        <v>885194.4</v>
      </c>
      <c r="J207" s="40">
        <f t="shared" si="133"/>
        <v>191.64</v>
      </c>
      <c r="K207" s="39"/>
      <c r="L207" s="39">
        <f t="shared" si="134"/>
        <v>89.65</v>
      </c>
      <c r="M207" s="39"/>
    </row>
    <row r="208" spans="1:13" s="2" customFormat="1" ht="31.2">
      <c r="A208" s="18" t="s">
        <v>356</v>
      </c>
      <c r="B208" s="16">
        <v>992</v>
      </c>
      <c r="C208" s="28" t="s">
        <v>146</v>
      </c>
      <c r="D208" s="28" t="s">
        <v>284</v>
      </c>
      <c r="E208" s="28" t="s">
        <v>27</v>
      </c>
      <c r="F208" s="39">
        <f>F209</f>
        <v>4000000</v>
      </c>
      <c r="G208" s="39">
        <f t="shared" si="135"/>
        <v>8550925.1699999999</v>
      </c>
      <c r="H208" s="39">
        <f t="shared" si="135"/>
        <v>7665730.7699999996</v>
      </c>
      <c r="I208" s="39">
        <f t="shared" si="132"/>
        <v>885194.4</v>
      </c>
      <c r="J208" s="40">
        <f t="shared" si="133"/>
        <v>191.64</v>
      </c>
      <c r="K208" s="39"/>
      <c r="L208" s="39">
        <f t="shared" si="134"/>
        <v>89.65</v>
      </c>
      <c r="M208" s="39"/>
    </row>
    <row r="209" spans="1:13" s="2" customFormat="1" ht="15.6">
      <c r="A209" s="18" t="s">
        <v>357</v>
      </c>
      <c r="B209" s="16">
        <v>992</v>
      </c>
      <c r="C209" s="28" t="s">
        <v>146</v>
      </c>
      <c r="D209" s="28" t="s">
        <v>281</v>
      </c>
      <c r="E209" s="28" t="s">
        <v>27</v>
      </c>
      <c r="F209" s="39">
        <f>F210+F212</f>
        <v>4000000</v>
      </c>
      <c r="G209" s="39">
        <f t="shared" ref="G209:H209" si="136">G210+G212</f>
        <v>8550925.1699999999</v>
      </c>
      <c r="H209" s="39">
        <f t="shared" si="136"/>
        <v>7665730.7699999996</v>
      </c>
      <c r="I209" s="39">
        <f t="shared" si="132"/>
        <v>885194.4</v>
      </c>
      <c r="J209" s="40">
        <f t="shared" si="133"/>
        <v>191.64</v>
      </c>
      <c r="K209" s="39"/>
      <c r="L209" s="39">
        <f t="shared" si="134"/>
        <v>89.65</v>
      </c>
      <c r="M209" s="39"/>
    </row>
    <row r="210" spans="1:13" s="1" customFormat="1" ht="31.2">
      <c r="A210" s="46" t="s">
        <v>359</v>
      </c>
      <c r="B210" s="18">
        <v>992</v>
      </c>
      <c r="C210" s="25" t="s">
        <v>146</v>
      </c>
      <c r="D210" s="18" t="s">
        <v>222</v>
      </c>
      <c r="E210" s="48" t="s">
        <v>27</v>
      </c>
      <c r="F210" s="39">
        <f>F211</f>
        <v>0</v>
      </c>
      <c r="G210" s="39">
        <f t="shared" ref="G210:H210" si="137">G211</f>
        <v>410517</v>
      </c>
      <c r="H210" s="39">
        <f t="shared" si="137"/>
        <v>410517</v>
      </c>
      <c r="I210" s="39">
        <f t="shared" si="132"/>
        <v>0</v>
      </c>
      <c r="J210" s="40" t="e">
        <f t="shared" si="133"/>
        <v>#DIV/0!</v>
      </c>
      <c r="K210" s="39"/>
      <c r="L210" s="39">
        <f t="shared" si="134"/>
        <v>100</v>
      </c>
      <c r="M210" s="39"/>
    </row>
    <row r="211" spans="1:13" s="1" customFormat="1" ht="140.4">
      <c r="A211" s="29" t="s">
        <v>125</v>
      </c>
      <c r="B211" s="18">
        <v>992</v>
      </c>
      <c r="C211" s="25" t="s">
        <v>146</v>
      </c>
      <c r="D211" s="18" t="s">
        <v>222</v>
      </c>
      <c r="E211" s="48" t="s">
        <v>126</v>
      </c>
      <c r="F211" s="39">
        <v>0</v>
      </c>
      <c r="G211" s="39">
        <v>410517</v>
      </c>
      <c r="H211" s="39">
        <v>410517</v>
      </c>
      <c r="I211" s="39">
        <f t="shared" si="132"/>
        <v>0</v>
      </c>
      <c r="J211" s="40" t="e">
        <f t="shared" si="133"/>
        <v>#DIV/0!</v>
      </c>
      <c r="K211" s="15" t="s">
        <v>599</v>
      </c>
      <c r="L211" s="39">
        <f t="shared" si="134"/>
        <v>100</v>
      </c>
      <c r="M211" s="15"/>
    </row>
    <row r="212" spans="1:13" s="1" customFormat="1" ht="31.2">
      <c r="A212" s="46" t="s">
        <v>454</v>
      </c>
      <c r="B212" s="18">
        <v>992</v>
      </c>
      <c r="C212" s="25" t="s">
        <v>146</v>
      </c>
      <c r="D212" s="18" t="s">
        <v>226</v>
      </c>
      <c r="E212" s="48" t="s">
        <v>27</v>
      </c>
      <c r="F212" s="39">
        <f>F213</f>
        <v>4000000</v>
      </c>
      <c r="G212" s="39">
        <f t="shared" ref="G212:H212" si="138">G213</f>
        <v>8140408.1699999999</v>
      </c>
      <c r="H212" s="39">
        <f t="shared" si="138"/>
        <v>7255213.7699999996</v>
      </c>
      <c r="I212" s="39">
        <f t="shared" si="132"/>
        <v>885194.4</v>
      </c>
      <c r="J212" s="40">
        <f t="shared" si="133"/>
        <v>181.38</v>
      </c>
      <c r="K212" s="39"/>
      <c r="L212" s="39">
        <f t="shared" si="134"/>
        <v>89.13</v>
      </c>
      <c r="M212" s="39"/>
    </row>
    <row r="213" spans="1:13" s="1" customFormat="1" ht="31.2">
      <c r="A213" s="29" t="s">
        <v>125</v>
      </c>
      <c r="B213" s="18">
        <v>992</v>
      </c>
      <c r="C213" s="25" t="s">
        <v>146</v>
      </c>
      <c r="D213" s="18" t="s">
        <v>226</v>
      </c>
      <c r="E213" s="48" t="s">
        <v>126</v>
      </c>
      <c r="F213" s="39">
        <f>4000000</f>
        <v>4000000</v>
      </c>
      <c r="G213" s="39">
        <f>4000000+690127.12+803511+3007234.31+906744.06+502235.65-2100163.63+330719.66</f>
        <v>8140408.1699999999</v>
      </c>
      <c r="H213" s="39">
        <v>7255213.7699999996</v>
      </c>
      <c r="I213" s="39">
        <f t="shared" si="132"/>
        <v>885194.4</v>
      </c>
      <c r="J213" s="40">
        <f t="shared" si="133"/>
        <v>181.38</v>
      </c>
      <c r="K213" s="39"/>
      <c r="L213" s="39">
        <f t="shared" si="134"/>
        <v>89.13</v>
      </c>
      <c r="M213" s="39"/>
    </row>
    <row r="214" spans="1:13" s="1" customFormat="1" ht="15.6">
      <c r="A214" s="29" t="s">
        <v>148</v>
      </c>
      <c r="B214" s="18">
        <v>992</v>
      </c>
      <c r="C214" s="25" t="s">
        <v>149</v>
      </c>
      <c r="D214" s="18" t="s">
        <v>154</v>
      </c>
      <c r="E214" s="48" t="s">
        <v>27</v>
      </c>
      <c r="F214" s="26">
        <f>F215+F237+F244</f>
        <v>35067416.590000004</v>
      </c>
      <c r="G214" s="26">
        <f t="shared" ref="G214:H214" si="139">G215+G237+G244</f>
        <v>54898196.700000003</v>
      </c>
      <c r="H214" s="26">
        <f t="shared" si="139"/>
        <v>47230775.539999999</v>
      </c>
      <c r="I214" s="26">
        <f t="shared" si="132"/>
        <v>7667421.1600000001</v>
      </c>
      <c r="J214" s="27">
        <f t="shared" si="133"/>
        <v>134.69</v>
      </c>
      <c r="K214" s="26"/>
      <c r="L214" s="26">
        <f t="shared" si="134"/>
        <v>86.03</v>
      </c>
      <c r="M214" s="26"/>
    </row>
    <row r="215" spans="1:13" s="2" customFormat="1" ht="62.4">
      <c r="A215" s="16" t="s">
        <v>385</v>
      </c>
      <c r="B215" s="18">
        <v>992</v>
      </c>
      <c r="C215" s="25" t="s">
        <v>149</v>
      </c>
      <c r="D215" s="18" t="s">
        <v>175</v>
      </c>
      <c r="E215" s="25" t="s">
        <v>27</v>
      </c>
      <c r="F215" s="26">
        <f>F216</f>
        <v>15106113.23</v>
      </c>
      <c r="G215" s="26">
        <f t="shared" ref="G215:H215" si="140">G216</f>
        <v>16883860.800000001</v>
      </c>
      <c r="H215" s="26">
        <f t="shared" si="140"/>
        <v>15094481.49</v>
      </c>
      <c r="I215" s="26">
        <f t="shared" si="132"/>
        <v>1789379.31</v>
      </c>
      <c r="J215" s="27">
        <f t="shared" si="133"/>
        <v>99.92</v>
      </c>
      <c r="K215" s="26"/>
      <c r="L215" s="26">
        <f t="shared" si="134"/>
        <v>89.4</v>
      </c>
      <c r="M215" s="26"/>
    </row>
    <row r="216" spans="1:13" s="2" customFormat="1" ht="46.8">
      <c r="A216" s="68" t="s">
        <v>432</v>
      </c>
      <c r="B216" s="18">
        <v>992</v>
      </c>
      <c r="C216" s="25" t="s">
        <v>149</v>
      </c>
      <c r="D216" s="47" t="s">
        <v>183</v>
      </c>
      <c r="E216" s="48" t="s">
        <v>27</v>
      </c>
      <c r="F216" s="39">
        <f>F217+F226+F229+F234</f>
        <v>15106113.23</v>
      </c>
      <c r="G216" s="39">
        <f t="shared" ref="G216:H216" si="141">G217+G226+G229+G234</f>
        <v>16883860.800000001</v>
      </c>
      <c r="H216" s="39">
        <f t="shared" si="141"/>
        <v>15094481.49</v>
      </c>
      <c r="I216" s="39">
        <f t="shared" si="132"/>
        <v>1789379.31</v>
      </c>
      <c r="J216" s="40">
        <f t="shared" si="133"/>
        <v>99.92</v>
      </c>
      <c r="K216" s="39"/>
      <c r="L216" s="39">
        <f t="shared" si="134"/>
        <v>89.4</v>
      </c>
      <c r="M216" s="39"/>
    </row>
    <row r="217" spans="1:13" s="2" customFormat="1" ht="46.8">
      <c r="A217" s="68" t="s">
        <v>444</v>
      </c>
      <c r="B217" s="18">
        <v>992</v>
      </c>
      <c r="C217" s="25" t="s">
        <v>149</v>
      </c>
      <c r="D217" s="47" t="s">
        <v>445</v>
      </c>
      <c r="E217" s="48" t="s">
        <v>27</v>
      </c>
      <c r="F217" s="39">
        <f>F218+F220+F222+F224</f>
        <v>10064189.26</v>
      </c>
      <c r="G217" s="39">
        <f t="shared" ref="G217:H217" si="142">G218+G220+G222+G224</f>
        <v>8708177.8000000007</v>
      </c>
      <c r="H217" s="39">
        <f t="shared" si="142"/>
        <v>7984236.25</v>
      </c>
      <c r="I217" s="39">
        <f t="shared" si="132"/>
        <v>723941.55</v>
      </c>
      <c r="J217" s="40">
        <f t="shared" si="133"/>
        <v>79.33</v>
      </c>
      <c r="K217" s="39"/>
      <c r="L217" s="39">
        <f t="shared" si="134"/>
        <v>91.69</v>
      </c>
      <c r="M217" s="39"/>
    </row>
    <row r="218" spans="1:13" s="1" customFormat="1" ht="31.2" outlineLevel="5">
      <c r="A218" s="64" t="s">
        <v>446</v>
      </c>
      <c r="B218" s="18">
        <v>992</v>
      </c>
      <c r="C218" s="28" t="s">
        <v>149</v>
      </c>
      <c r="D218" s="69" t="s">
        <v>447</v>
      </c>
      <c r="E218" s="65" t="s">
        <v>27</v>
      </c>
      <c r="F218" s="26">
        <f>F219</f>
        <v>288213.5</v>
      </c>
      <c r="G218" s="26">
        <f t="shared" ref="G218:H218" si="143">G219</f>
        <v>0</v>
      </c>
      <c r="H218" s="26">
        <f t="shared" si="143"/>
        <v>0</v>
      </c>
      <c r="I218" s="26">
        <f t="shared" si="132"/>
        <v>0</v>
      </c>
      <c r="J218" s="27">
        <f t="shared" si="133"/>
        <v>0</v>
      </c>
      <c r="K218" s="26"/>
      <c r="L218" s="26" t="e">
        <f t="shared" si="134"/>
        <v>#DIV/0!</v>
      </c>
      <c r="M218" s="26"/>
    </row>
    <row r="219" spans="1:13" s="1" customFormat="1" ht="31.2" outlineLevel="5">
      <c r="A219" s="70" t="s">
        <v>125</v>
      </c>
      <c r="B219" s="18">
        <v>992</v>
      </c>
      <c r="C219" s="28" t="s">
        <v>149</v>
      </c>
      <c r="D219" s="69" t="s">
        <v>447</v>
      </c>
      <c r="E219" s="65" t="s">
        <v>126</v>
      </c>
      <c r="F219" s="26">
        <f>288213.5</f>
        <v>288213.5</v>
      </c>
      <c r="G219" s="26">
        <f t="shared" ref="G219:H219" si="144">288213.5-288213.5</f>
        <v>0</v>
      </c>
      <c r="H219" s="26">
        <f t="shared" si="144"/>
        <v>0</v>
      </c>
      <c r="I219" s="26">
        <f t="shared" si="132"/>
        <v>0</v>
      </c>
      <c r="J219" s="27">
        <f t="shared" si="133"/>
        <v>0</v>
      </c>
      <c r="K219" s="26"/>
      <c r="L219" s="26" t="e">
        <f t="shared" si="134"/>
        <v>#DIV/0!</v>
      </c>
      <c r="M219" s="26"/>
    </row>
    <row r="220" spans="1:13" s="1" customFormat="1" ht="93.6" outlineLevel="5">
      <c r="A220" s="71" t="s">
        <v>448</v>
      </c>
      <c r="B220" s="18">
        <v>992</v>
      </c>
      <c r="C220" s="28" t="s">
        <v>149</v>
      </c>
      <c r="D220" s="47" t="s">
        <v>192</v>
      </c>
      <c r="E220" s="65" t="s">
        <v>27</v>
      </c>
      <c r="F220" s="39">
        <f>F221</f>
        <v>662932.19999999995</v>
      </c>
      <c r="G220" s="39">
        <f t="shared" ref="G220:H220" si="145">G221</f>
        <v>0</v>
      </c>
      <c r="H220" s="39">
        <f t="shared" si="145"/>
        <v>0</v>
      </c>
      <c r="I220" s="39">
        <f t="shared" si="132"/>
        <v>0</v>
      </c>
      <c r="J220" s="40">
        <f t="shared" si="133"/>
        <v>0</v>
      </c>
      <c r="K220" s="39"/>
      <c r="L220" s="39" t="e">
        <f t="shared" si="134"/>
        <v>#DIV/0!</v>
      </c>
      <c r="M220" s="39"/>
    </row>
    <row r="221" spans="1:13" s="1" customFormat="1" ht="140.4" outlineLevel="5">
      <c r="A221" s="29" t="s">
        <v>443</v>
      </c>
      <c r="B221" s="18">
        <v>992</v>
      </c>
      <c r="C221" s="28" t="s">
        <v>149</v>
      </c>
      <c r="D221" s="47" t="s">
        <v>192</v>
      </c>
      <c r="E221" s="65" t="s">
        <v>133</v>
      </c>
      <c r="F221" s="39">
        <f>662932.2</f>
        <v>662932.19999999995</v>
      </c>
      <c r="G221" s="39">
        <f t="shared" ref="G221:H221" si="146">662932.2-662932.2</f>
        <v>0</v>
      </c>
      <c r="H221" s="39">
        <f t="shared" si="146"/>
        <v>0</v>
      </c>
      <c r="I221" s="39">
        <f t="shared" si="132"/>
        <v>0</v>
      </c>
      <c r="J221" s="40">
        <f t="shared" si="133"/>
        <v>0</v>
      </c>
      <c r="K221" s="15" t="s">
        <v>598</v>
      </c>
      <c r="L221" s="39" t="e">
        <f t="shared" si="134"/>
        <v>#DIV/0!</v>
      </c>
      <c r="M221" s="15" t="s">
        <v>598</v>
      </c>
    </row>
    <row r="222" spans="1:13" s="1" customFormat="1" ht="62.4">
      <c r="A222" s="71" t="s">
        <v>256</v>
      </c>
      <c r="B222" s="18">
        <v>992</v>
      </c>
      <c r="C222" s="25" t="s">
        <v>149</v>
      </c>
      <c r="D222" s="18" t="s">
        <v>257</v>
      </c>
      <c r="E222" s="48" t="s">
        <v>27</v>
      </c>
      <c r="F222" s="39">
        <f>F223</f>
        <v>9021913.1199999992</v>
      </c>
      <c r="G222" s="39">
        <f t="shared" ref="G222:H222" si="147">G223</f>
        <v>8446932.4700000007</v>
      </c>
      <c r="H222" s="39">
        <f t="shared" si="147"/>
        <v>7744709.1600000001</v>
      </c>
      <c r="I222" s="39">
        <f t="shared" si="132"/>
        <v>702223.31</v>
      </c>
      <c r="J222" s="40">
        <f t="shared" si="133"/>
        <v>85.84</v>
      </c>
      <c r="K222" s="39"/>
      <c r="L222" s="39">
        <f t="shared" si="134"/>
        <v>91.69</v>
      </c>
      <c r="M222" s="39"/>
    </row>
    <row r="223" spans="1:13" s="1" customFormat="1" ht="140.4">
      <c r="A223" s="28" t="s">
        <v>125</v>
      </c>
      <c r="B223" s="18">
        <v>992</v>
      </c>
      <c r="C223" s="25" t="s">
        <v>149</v>
      </c>
      <c r="D223" s="18" t="s">
        <v>257</v>
      </c>
      <c r="E223" s="48" t="s">
        <v>126</v>
      </c>
      <c r="F223" s="39">
        <f>9021913.12</f>
        <v>9021913.1199999992</v>
      </c>
      <c r="G223" s="39">
        <f>9021913.12-574980.65</f>
        <v>8446932.4700000007</v>
      </c>
      <c r="H223" s="39">
        <v>7744709.1600000001</v>
      </c>
      <c r="I223" s="39">
        <f t="shared" si="132"/>
        <v>702223.31</v>
      </c>
      <c r="J223" s="40">
        <f t="shared" si="133"/>
        <v>85.84</v>
      </c>
      <c r="K223" s="15" t="s">
        <v>598</v>
      </c>
      <c r="L223" s="39">
        <f t="shared" si="134"/>
        <v>91.69</v>
      </c>
      <c r="M223" s="15" t="s">
        <v>598</v>
      </c>
    </row>
    <row r="224" spans="1:13" s="1" customFormat="1" ht="62.4">
      <c r="A224" s="71" t="s">
        <v>258</v>
      </c>
      <c r="B224" s="18">
        <v>992</v>
      </c>
      <c r="C224" s="25" t="s">
        <v>149</v>
      </c>
      <c r="D224" s="18" t="s">
        <v>257</v>
      </c>
      <c r="E224" s="48" t="s">
        <v>27</v>
      </c>
      <c r="F224" s="39">
        <f>F225</f>
        <v>91130.44</v>
      </c>
      <c r="G224" s="39">
        <f t="shared" ref="G224:H224" si="148">G225</f>
        <v>261245.33</v>
      </c>
      <c r="H224" s="39">
        <f t="shared" si="148"/>
        <v>239527.09</v>
      </c>
      <c r="I224" s="39">
        <f t="shared" si="132"/>
        <v>21718.240000000002</v>
      </c>
      <c r="J224" s="40">
        <f t="shared" si="133"/>
        <v>262.83999999999997</v>
      </c>
      <c r="K224" s="39"/>
      <c r="L224" s="39">
        <f t="shared" si="134"/>
        <v>91.69</v>
      </c>
      <c r="M224" s="39"/>
    </row>
    <row r="225" spans="1:13" s="1" customFormat="1" ht="140.4">
      <c r="A225" s="28" t="s">
        <v>125</v>
      </c>
      <c r="B225" s="18">
        <v>992</v>
      </c>
      <c r="C225" s="25" t="s">
        <v>149</v>
      </c>
      <c r="D225" s="18" t="s">
        <v>257</v>
      </c>
      <c r="E225" s="48" t="s">
        <v>126</v>
      </c>
      <c r="F225" s="39">
        <f>91130.44</f>
        <v>91130.44</v>
      </c>
      <c r="G225" s="39">
        <f t="shared" ref="G225" si="149">91130.44-18373.08+206270.88-17782.91</f>
        <v>261245.33</v>
      </c>
      <c r="H225" s="39">
        <v>239527.09</v>
      </c>
      <c r="I225" s="39">
        <f t="shared" si="132"/>
        <v>21718.240000000002</v>
      </c>
      <c r="J225" s="40">
        <f t="shared" si="133"/>
        <v>262.83999999999997</v>
      </c>
      <c r="K225" s="15" t="s">
        <v>598</v>
      </c>
      <c r="L225" s="39">
        <f t="shared" si="134"/>
        <v>91.69</v>
      </c>
      <c r="M225" s="15" t="s">
        <v>598</v>
      </c>
    </row>
    <row r="226" spans="1:13" s="2" customFormat="1" ht="31.2">
      <c r="A226" s="68" t="s">
        <v>433</v>
      </c>
      <c r="B226" s="18">
        <v>992</v>
      </c>
      <c r="C226" s="25" t="s">
        <v>149</v>
      </c>
      <c r="D226" s="47" t="s">
        <v>434</v>
      </c>
      <c r="E226" s="48" t="s">
        <v>27</v>
      </c>
      <c r="F226" s="39">
        <f>F227</f>
        <v>2931838</v>
      </c>
      <c r="G226" s="39">
        <f t="shared" ref="G226:H227" si="150">G227</f>
        <v>677440.03</v>
      </c>
      <c r="H226" s="39">
        <f t="shared" si="150"/>
        <v>677440</v>
      </c>
      <c r="I226" s="39">
        <f t="shared" si="132"/>
        <v>0.03</v>
      </c>
      <c r="J226" s="40">
        <f t="shared" si="133"/>
        <v>23.11</v>
      </c>
      <c r="K226" s="39"/>
      <c r="L226" s="39">
        <f t="shared" si="134"/>
        <v>100</v>
      </c>
      <c r="M226" s="39"/>
    </row>
    <row r="227" spans="1:13" s="1" customFormat="1" ht="46.8" outlineLevel="5">
      <c r="A227" s="46" t="s">
        <v>520</v>
      </c>
      <c r="B227" s="18">
        <v>992</v>
      </c>
      <c r="C227" s="25" t="s">
        <v>149</v>
      </c>
      <c r="D227" s="46" t="s">
        <v>449</v>
      </c>
      <c r="E227" s="48" t="s">
        <v>27</v>
      </c>
      <c r="F227" s="39">
        <f>F228</f>
        <v>2931838</v>
      </c>
      <c r="G227" s="39">
        <f t="shared" si="150"/>
        <v>677440.03</v>
      </c>
      <c r="H227" s="39">
        <f t="shared" si="150"/>
        <v>677440</v>
      </c>
      <c r="I227" s="39">
        <f t="shared" si="132"/>
        <v>0.03</v>
      </c>
      <c r="J227" s="40">
        <f t="shared" si="133"/>
        <v>23.11</v>
      </c>
      <c r="K227" s="39"/>
      <c r="L227" s="39">
        <f t="shared" si="134"/>
        <v>100</v>
      </c>
      <c r="M227" s="39"/>
    </row>
    <row r="228" spans="1:13" s="1" customFormat="1" ht="46.8" outlineLevel="5">
      <c r="A228" s="18" t="s">
        <v>111</v>
      </c>
      <c r="B228" s="18">
        <v>992</v>
      </c>
      <c r="C228" s="25" t="s">
        <v>149</v>
      </c>
      <c r="D228" s="46" t="s">
        <v>449</v>
      </c>
      <c r="E228" s="48" t="s">
        <v>89</v>
      </c>
      <c r="F228" s="39">
        <f>2931838</f>
        <v>2931838</v>
      </c>
      <c r="G228" s="39">
        <v>677440.03</v>
      </c>
      <c r="H228" s="39">
        <f t="shared" ref="H228" si="151">2931838-1800000-454398</f>
        <v>677440</v>
      </c>
      <c r="I228" s="39">
        <f t="shared" si="132"/>
        <v>0.03</v>
      </c>
      <c r="J228" s="40">
        <f t="shared" si="133"/>
        <v>23.11</v>
      </c>
      <c r="K228" s="39"/>
      <c r="L228" s="39">
        <f t="shared" si="134"/>
        <v>100</v>
      </c>
      <c r="M228" s="39"/>
    </row>
    <row r="229" spans="1:13" s="1" customFormat="1" ht="31.2">
      <c r="A229" s="62" t="s">
        <v>211</v>
      </c>
      <c r="B229" s="18">
        <v>992</v>
      </c>
      <c r="C229" s="25" t="s">
        <v>149</v>
      </c>
      <c r="D229" s="18" t="s">
        <v>236</v>
      </c>
      <c r="E229" s="48" t="s">
        <v>27</v>
      </c>
      <c r="F229" s="39">
        <f>F230+F232</f>
        <v>1680085.97</v>
      </c>
      <c r="G229" s="39">
        <f t="shared" ref="G229:H229" si="152">G230+G232</f>
        <v>3021414.97</v>
      </c>
      <c r="H229" s="39">
        <f t="shared" si="152"/>
        <v>3021414.94</v>
      </c>
      <c r="I229" s="39">
        <f t="shared" si="132"/>
        <v>0.03</v>
      </c>
      <c r="J229" s="40">
        <f t="shared" si="133"/>
        <v>179.84</v>
      </c>
      <c r="K229" s="39"/>
      <c r="L229" s="39">
        <f t="shared" si="134"/>
        <v>100</v>
      </c>
      <c r="M229" s="39"/>
    </row>
    <row r="230" spans="1:13" s="1" customFormat="1" ht="46.8">
      <c r="A230" s="16" t="s">
        <v>212</v>
      </c>
      <c r="B230" s="18">
        <v>992</v>
      </c>
      <c r="C230" s="25" t="s">
        <v>149</v>
      </c>
      <c r="D230" s="72" t="s">
        <v>237</v>
      </c>
      <c r="E230" s="48" t="s">
        <v>27</v>
      </c>
      <c r="F230" s="39">
        <f>F231</f>
        <v>1596081.67</v>
      </c>
      <c r="G230" s="39">
        <f t="shared" ref="G230:H230" si="153">G231</f>
        <v>2930772.49</v>
      </c>
      <c r="H230" s="39">
        <f t="shared" si="153"/>
        <v>2930772.49</v>
      </c>
      <c r="I230" s="39">
        <f t="shared" si="132"/>
        <v>0</v>
      </c>
      <c r="J230" s="40">
        <f t="shared" si="133"/>
        <v>183.62</v>
      </c>
      <c r="K230" s="39"/>
      <c r="L230" s="39">
        <f t="shared" si="134"/>
        <v>100</v>
      </c>
      <c r="M230" s="39"/>
    </row>
    <row r="231" spans="1:13" s="1" customFormat="1" ht="140.4">
      <c r="A231" s="18" t="s">
        <v>111</v>
      </c>
      <c r="B231" s="18">
        <v>992</v>
      </c>
      <c r="C231" s="25" t="s">
        <v>149</v>
      </c>
      <c r="D231" s="72" t="s">
        <v>237</v>
      </c>
      <c r="E231" s="48" t="s">
        <v>89</v>
      </c>
      <c r="F231" s="39">
        <f>1596081.67</f>
        <v>1596081.67</v>
      </c>
      <c r="G231" s="39">
        <f t="shared" ref="G231:H231" si="154">1596081.67+90775.62+1243915.2</f>
        <v>2930772.49</v>
      </c>
      <c r="H231" s="39">
        <f t="shared" si="154"/>
        <v>2930772.49</v>
      </c>
      <c r="I231" s="39">
        <f t="shared" si="132"/>
        <v>0</v>
      </c>
      <c r="J231" s="40">
        <f t="shared" si="133"/>
        <v>183.62</v>
      </c>
      <c r="K231" s="15" t="s">
        <v>598</v>
      </c>
      <c r="L231" s="39">
        <f t="shared" si="134"/>
        <v>100</v>
      </c>
      <c r="M231" s="39"/>
    </row>
    <row r="232" spans="1:13" s="1" customFormat="1" ht="62.4">
      <c r="A232" s="16" t="s">
        <v>215</v>
      </c>
      <c r="B232" s="18">
        <v>992</v>
      </c>
      <c r="C232" s="25" t="s">
        <v>149</v>
      </c>
      <c r="D232" s="72" t="s">
        <v>237</v>
      </c>
      <c r="E232" s="48" t="s">
        <v>27</v>
      </c>
      <c r="F232" s="39">
        <f>F233</f>
        <v>84004.3</v>
      </c>
      <c r="G232" s="39">
        <f t="shared" ref="G232:H232" si="155">G233</f>
        <v>90642.48</v>
      </c>
      <c r="H232" s="39">
        <f t="shared" si="155"/>
        <v>90642.45</v>
      </c>
      <c r="I232" s="39">
        <f t="shared" si="132"/>
        <v>0.03</v>
      </c>
      <c r="J232" s="40">
        <f t="shared" si="133"/>
        <v>107.9</v>
      </c>
      <c r="K232" s="39"/>
      <c r="L232" s="39">
        <f t="shared" si="134"/>
        <v>100</v>
      </c>
      <c r="M232" s="39"/>
    </row>
    <row r="233" spans="1:13" s="1" customFormat="1" ht="140.4">
      <c r="A233" s="18" t="s">
        <v>111</v>
      </c>
      <c r="B233" s="18">
        <v>992</v>
      </c>
      <c r="C233" s="25" t="s">
        <v>149</v>
      </c>
      <c r="D233" s="72" t="s">
        <v>237</v>
      </c>
      <c r="E233" s="48" t="s">
        <v>89</v>
      </c>
      <c r="F233" s="73">
        <f>84004.3</f>
        <v>84004.3</v>
      </c>
      <c r="G233" s="73">
        <v>90642.48</v>
      </c>
      <c r="H233" s="73">
        <f t="shared" ref="H233" si="156">84004.3-34640.95+115103+40000-113823.9</f>
        <v>90642.45</v>
      </c>
      <c r="I233" s="73">
        <f t="shared" si="132"/>
        <v>0.03</v>
      </c>
      <c r="J233" s="74">
        <f t="shared" si="133"/>
        <v>107.9</v>
      </c>
      <c r="K233" s="15" t="s">
        <v>598</v>
      </c>
      <c r="L233" s="39">
        <f t="shared" si="134"/>
        <v>100</v>
      </c>
      <c r="M233" s="39"/>
    </row>
    <row r="234" spans="1:13" s="2" customFormat="1" ht="46.8">
      <c r="A234" s="68" t="s">
        <v>451</v>
      </c>
      <c r="B234" s="18">
        <v>992</v>
      </c>
      <c r="C234" s="25" t="s">
        <v>149</v>
      </c>
      <c r="D234" s="47" t="s">
        <v>450</v>
      </c>
      <c r="E234" s="48" t="s">
        <v>27</v>
      </c>
      <c r="F234" s="39">
        <f>F235</f>
        <v>430000</v>
      </c>
      <c r="G234" s="39">
        <f t="shared" ref="G234:H235" si="157">G235</f>
        <v>4476828</v>
      </c>
      <c r="H234" s="39">
        <f t="shared" si="157"/>
        <v>3411390.3</v>
      </c>
      <c r="I234" s="39">
        <f t="shared" si="132"/>
        <v>1065437.7</v>
      </c>
      <c r="J234" s="40">
        <f t="shared" si="133"/>
        <v>793.35</v>
      </c>
      <c r="K234" s="39"/>
      <c r="L234" s="39">
        <f t="shared" si="134"/>
        <v>76.2</v>
      </c>
      <c r="M234" s="39"/>
    </row>
    <row r="235" spans="1:13" s="1" customFormat="1" ht="46.8">
      <c r="A235" s="28" t="s">
        <v>452</v>
      </c>
      <c r="B235" s="18">
        <v>992</v>
      </c>
      <c r="C235" s="25" t="s">
        <v>149</v>
      </c>
      <c r="D235" s="18" t="s">
        <v>453</v>
      </c>
      <c r="E235" s="48" t="s">
        <v>27</v>
      </c>
      <c r="F235" s="39">
        <f>F236</f>
        <v>430000</v>
      </c>
      <c r="G235" s="39">
        <f t="shared" si="157"/>
        <v>4476828</v>
      </c>
      <c r="H235" s="39">
        <f t="shared" si="157"/>
        <v>3411390.3</v>
      </c>
      <c r="I235" s="39">
        <f t="shared" si="132"/>
        <v>1065437.7</v>
      </c>
      <c r="J235" s="40">
        <f t="shared" si="133"/>
        <v>793.35</v>
      </c>
      <c r="K235" s="39"/>
      <c r="L235" s="39">
        <f t="shared" si="134"/>
        <v>76.2</v>
      </c>
      <c r="M235" s="39"/>
    </row>
    <row r="236" spans="1:13" s="1" customFormat="1" ht="31.2">
      <c r="A236" s="29" t="s">
        <v>125</v>
      </c>
      <c r="B236" s="18">
        <v>992</v>
      </c>
      <c r="C236" s="25" t="s">
        <v>149</v>
      </c>
      <c r="D236" s="18" t="s">
        <v>453</v>
      </c>
      <c r="E236" s="48" t="s">
        <v>126</v>
      </c>
      <c r="F236" s="39">
        <f>430000</f>
        <v>430000</v>
      </c>
      <c r="G236" s="39">
        <f t="shared" ref="G236" si="158">430000+3068048+978780</f>
        <v>4476828</v>
      </c>
      <c r="H236" s="39">
        <v>3411390.3</v>
      </c>
      <c r="I236" s="39">
        <f t="shared" si="132"/>
        <v>1065437.7</v>
      </c>
      <c r="J236" s="40">
        <f t="shared" si="133"/>
        <v>793.35</v>
      </c>
      <c r="K236" s="39"/>
      <c r="L236" s="39">
        <f t="shared" si="134"/>
        <v>76.2</v>
      </c>
      <c r="M236" s="39"/>
    </row>
    <row r="237" spans="1:13" s="2" customFormat="1" ht="46.8">
      <c r="A237" s="25" t="s">
        <v>358</v>
      </c>
      <c r="B237" s="16">
        <v>992</v>
      </c>
      <c r="C237" s="28" t="s">
        <v>149</v>
      </c>
      <c r="D237" s="28" t="s">
        <v>155</v>
      </c>
      <c r="E237" s="28" t="s">
        <v>27</v>
      </c>
      <c r="F237" s="39">
        <f>F238</f>
        <v>12395503.9</v>
      </c>
      <c r="G237" s="39">
        <f t="shared" ref="G237:H238" si="159">G238</f>
        <v>30292540.57</v>
      </c>
      <c r="H237" s="39">
        <f t="shared" si="159"/>
        <v>24415294.050000001</v>
      </c>
      <c r="I237" s="39">
        <f t="shared" si="132"/>
        <v>5877246.5199999996</v>
      </c>
      <c r="J237" s="40">
        <f t="shared" si="133"/>
        <v>196.97</v>
      </c>
      <c r="K237" s="39"/>
      <c r="L237" s="39">
        <f t="shared" si="134"/>
        <v>80.599999999999994</v>
      </c>
      <c r="M237" s="39"/>
    </row>
    <row r="238" spans="1:13" s="2" customFormat="1" ht="31.2">
      <c r="A238" s="18" t="s">
        <v>356</v>
      </c>
      <c r="B238" s="16">
        <v>992</v>
      </c>
      <c r="C238" s="28" t="s">
        <v>149</v>
      </c>
      <c r="D238" s="28" t="s">
        <v>284</v>
      </c>
      <c r="E238" s="28" t="s">
        <v>27</v>
      </c>
      <c r="F238" s="39">
        <f>F239</f>
        <v>12395503.9</v>
      </c>
      <c r="G238" s="39">
        <f t="shared" si="159"/>
        <v>30292540.57</v>
      </c>
      <c r="H238" s="39">
        <f t="shared" si="159"/>
        <v>24415294.050000001</v>
      </c>
      <c r="I238" s="39">
        <f t="shared" si="132"/>
        <v>5877246.5199999996</v>
      </c>
      <c r="J238" s="40">
        <f t="shared" si="133"/>
        <v>196.97</v>
      </c>
      <c r="K238" s="39"/>
      <c r="L238" s="39">
        <f t="shared" si="134"/>
        <v>80.599999999999994</v>
      </c>
      <c r="M238" s="39"/>
    </row>
    <row r="239" spans="1:13" s="2" customFormat="1" ht="15.6">
      <c r="A239" s="18" t="s">
        <v>357</v>
      </c>
      <c r="B239" s="16">
        <v>992</v>
      </c>
      <c r="C239" s="28" t="s">
        <v>149</v>
      </c>
      <c r="D239" s="28" t="s">
        <v>281</v>
      </c>
      <c r="E239" s="28" t="s">
        <v>27</v>
      </c>
      <c r="F239" s="39">
        <f>F242+F240</f>
        <v>12395503.9</v>
      </c>
      <c r="G239" s="39">
        <f t="shared" ref="G239:H239" si="160">G242+G240</f>
        <v>30292540.57</v>
      </c>
      <c r="H239" s="39">
        <f t="shared" si="160"/>
        <v>24415294.050000001</v>
      </c>
      <c r="I239" s="39">
        <f t="shared" si="132"/>
        <v>5877246.5199999996</v>
      </c>
      <c r="J239" s="40">
        <f t="shared" si="133"/>
        <v>196.97</v>
      </c>
      <c r="K239" s="39"/>
      <c r="L239" s="39">
        <f t="shared" si="134"/>
        <v>80.599999999999994</v>
      </c>
      <c r="M239" s="39"/>
    </row>
    <row r="240" spans="1:13" s="1" customFormat="1" ht="31.2">
      <c r="A240" s="46" t="s">
        <v>359</v>
      </c>
      <c r="B240" s="18">
        <v>992</v>
      </c>
      <c r="C240" s="25" t="s">
        <v>149</v>
      </c>
      <c r="D240" s="18" t="s">
        <v>222</v>
      </c>
      <c r="E240" s="48" t="s">
        <v>27</v>
      </c>
      <c r="F240" s="39">
        <f>F241</f>
        <v>0</v>
      </c>
      <c r="G240" s="39">
        <f t="shared" ref="G240:H240" si="161">G241</f>
        <v>10241793.550000001</v>
      </c>
      <c r="H240" s="39">
        <f t="shared" si="161"/>
        <v>10241793.550000001</v>
      </c>
      <c r="I240" s="39">
        <f t="shared" si="132"/>
        <v>0</v>
      </c>
      <c r="J240" s="40" t="e">
        <f t="shared" si="133"/>
        <v>#DIV/0!</v>
      </c>
      <c r="K240" s="39"/>
      <c r="L240" s="39">
        <f t="shared" si="134"/>
        <v>100</v>
      </c>
      <c r="M240" s="39"/>
    </row>
    <row r="241" spans="1:13" s="1" customFormat="1" ht="140.4">
      <c r="A241" s="29" t="s">
        <v>125</v>
      </c>
      <c r="B241" s="18">
        <v>992</v>
      </c>
      <c r="C241" s="25" t="s">
        <v>149</v>
      </c>
      <c r="D241" s="18" t="s">
        <v>222</v>
      </c>
      <c r="E241" s="48" t="s">
        <v>126</v>
      </c>
      <c r="F241" s="39">
        <f>0</f>
        <v>0</v>
      </c>
      <c r="G241" s="39">
        <f t="shared" ref="G241:H241" si="162">0+3542922+3251245.27+3447626.28</f>
        <v>10241793.550000001</v>
      </c>
      <c r="H241" s="39">
        <f t="shared" si="162"/>
        <v>10241793.550000001</v>
      </c>
      <c r="I241" s="39">
        <f t="shared" si="132"/>
        <v>0</v>
      </c>
      <c r="J241" s="40" t="e">
        <f t="shared" si="133"/>
        <v>#DIV/0!</v>
      </c>
      <c r="K241" s="15" t="s">
        <v>599</v>
      </c>
      <c r="L241" s="39">
        <f t="shared" si="134"/>
        <v>100</v>
      </c>
      <c r="M241" s="15"/>
    </row>
    <row r="242" spans="1:13" s="1" customFormat="1" ht="31.2">
      <c r="A242" s="46" t="s">
        <v>455</v>
      </c>
      <c r="B242" s="18">
        <v>992</v>
      </c>
      <c r="C242" s="25" t="s">
        <v>149</v>
      </c>
      <c r="D242" s="18" t="s">
        <v>226</v>
      </c>
      <c r="E242" s="48" t="s">
        <v>27</v>
      </c>
      <c r="F242" s="39">
        <f>F243</f>
        <v>12395503.9</v>
      </c>
      <c r="G242" s="39">
        <f t="shared" ref="G242:H242" si="163">G243</f>
        <v>20050747.02</v>
      </c>
      <c r="H242" s="39">
        <f t="shared" si="163"/>
        <v>14173500.5</v>
      </c>
      <c r="I242" s="39">
        <f t="shared" si="132"/>
        <v>5877246.5199999996</v>
      </c>
      <c r="J242" s="40">
        <f t="shared" si="133"/>
        <v>114.34</v>
      </c>
      <c r="K242" s="39"/>
      <c r="L242" s="39">
        <f t="shared" si="134"/>
        <v>70.69</v>
      </c>
      <c r="M242" s="39"/>
    </row>
    <row r="243" spans="1:13" s="1" customFormat="1" ht="31.2">
      <c r="A243" s="29" t="s">
        <v>125</v>
      </c>
      <c r="B243" s="18">
        <v>992</v>
      </c>
      <c r="C243" s="25" t="s">
        <v>149</v>
      </c>
      <c r="D243" s="18" t="s">
        <v>226</v>
      </c>
      <c r="E243" s="48" t="s">
        <v>126</v>
      </c>
      <c r="F243" s="39">
        <f>12395503.9</f>
        <v>12395503.9</v>
      </c>
      <c r="G243" s="39">
        <v>20050747.02</v>
      </c>
      <c r="H243" s="39">
        <v>14173500.5</v>
      </c>
      <c r="I243" s="39">
        <f t="shared" si="132"/>
        <v>5877246.5199999996</v>
      </c>
      <c r="J243" s="40">
        <f t="shared" si="133"/>
        <v>114.34</v>
      </c>
      <c r="K243" s="39"/>
      <c r="L243" s="39">
        <f t="shared" si="134"/>
        <v>70.69</v>
      </c>
      <c r="M243" s="39"/>
    </row>
    <row r="244" spans="1:13" s="1" customFormat="1" ht="46.8">
      <c r="A244" s="28" t="s">
        <v>460</v>
      </c>
      <c r="B244" s="18">
        <v>992</v>
      </c>
      <c r="C244" s="25" t="s">
        <v>149</v>
      </c>
      <c r="D244" s="18" t="s">
        <v>172</v>
      </c>
      <c r="E244" s="48" t="s">
        <v>27</v>
      </c>
      <c r="F244" s="26">
        <f>F245</f>
        <v>7565799.46</v>
      </c>
      <c r="G244" s="26">
        <f t="shared" ref="G244:H245" si="164">G245</f>
        <v>7721795.3300000001</v>
      </c>
      <c r="H244" s="26">
        <f t="shared" si="164"/>
        <v>7721000</v>
      </c>
      <c r="I244" s="26">
        <f t="shared" si="132"/>
        <v>795.33</v>
      </c>
      <c r="J244" s="27">
        <f t="shared" si="133"/>
        <v>102.05</v>
      </c>
      <c r="K244" s="26"/>
      <c r="L244" s="26">
        <f t="shared" si="134"/>
        <v>99.99</v>
      </c>
      <c r="M244" s="26"/>
    </row>
    <row r="245" spans="1:13" s="1" customFormat="1" ht="46.8">
      <c r="A245" s="28" t="s">
        <v>461</v>
      </c>
      <c r="B245" s="18">
        <v>992</v>
      </c>
      <c r="C245" s="25" t="s">
        <v>149</v>
      </c>
      <c r="D245" s="47" t="s">
        <v>173</v>
      </c>
      <c r="E245" s="48" t="s">
        <v>27</v>
      </c>
      <c r="F245" s="26">
        <f>F246</f>
        <v>7565799.46</v>
      </c>
      <c r="G245" s="26">
        <f t="shared" si="164"/>
        <v>7721795.3300000001</v>
      </c>
      <c r="H245" s="26">
        <f t="shared" si="164"/>
        <v>7721000</v>
      </c>
      <c r="I245" s="26">
        <f t="shared" si="132"/>
        <v>795.33</v>
      </c>
      <c r="J245" s="27">
        <f t="shared" si="133"/>
        <v>102.05</v>
      </c>
      <c r="K245" s="26"/>
      <c r="L245" s="26">
        <f t="shared" si="134"/>
        <v>99.99</v>
      </c>
      <c r="M245" s="26"/>
    </row>
    <row r="246" spans="1:13" s="1" customFormat="1" ht="31.2">
      <c r="A246" s="28" t="s">
        <v>479</v>
      </c>
      <c r="B246" s="18">
        <v>992</v>
      </c>
      <c r="C246" s="25" t="s">
        <v>149</v>
      </c>
      <c r="D246" s="47" t="s">
        <v>240</v>
      </c>
      <c r="E246" s="48" t="s">
        <v>27</v>
      </c>
      <c r="F246" s="26">
        <f>F249+F247</f>
        <v>7565799.46</v>
      </c>
      <c r="G246" s="26">
        <f t="shared" ref="G246:H246" si="165">G249+G247</f>
        <v>7721795.3300000001</v>
      </c>
      <c r="H246" s="26">
        <f t="shared" si="165"/>
        <v>7721000</v>
      </c>
      <c r="I246" s="26">
        <f t="shared" si="132"/>
        <v>795.33</v>
      </c>
      <c r="J246" s="27">
        <f t="shared" si="133"/>
        <v>102.05</v>
      </c>
      <c r="K246" s="26"/>
      <c r="L246" s="26">
        <f t="shared" si="134"/>
        <v>99.99</v>
      </c>
      <c r="M246" s="26"/>
    </row>
    <row r="247" spans="1:13" s="1" customFormat="1" ht="46.8">
      <c r="A247" s="64" t="s">
        <v>265</v>
      </c>
      <c r="B247" s="18">
        <v>992</v>
      </c>
      <c r="C247" s="25" t="s">
        <v>149</v>
      </c>
      <c r="D247" s="28" t="s">
        <v>242</v>
      </c>
      <c r="E247" s="48" t="s">
        <v>27</v>
      </c>
      <c r="F247" s="39">
        <f>F248</f>
        <v>7490141.4699999997</v>
      </c>
      <c r="G247" s="39">
        <f t="shared" ref="G247:H247" si="166">G248</f>
        <v>7490141.4699999997</v>
      </c>
      <c r="H247" s="39">
        <f t="shared" si="166"/>
        <v>7489370</v>
      </c>
      <c r="I247" s="39">
        <f t="shared" si="132"/>
        <v>771.47</v>
      </c>
      <c r="J247" s="40">
        <f t="shared" si="133"/>
        <v>99.99</v>
      </c>
      <c r="K247" s="39"/>
      <c r="L247" s="39">
        <f t="shared" si="134"/>
        <v>99.99</v>
      </c>
      <c r="M247" s="39"/>
    </row>
    <row r="248" spans="1:13" s="1" customFormat="1" ht="31.2">
      <c r="A248" s="29" t="s">
        <v>125</v>
      </c>
      <c r="B248" s="18">
        <v>992</v>
      </c>
      <c r="C248" s="25" t="s">
        <v>149</v>
      </c>
      <c r="D248" s="28" t="s">
        <v>242</v>
      </c>
      <c r="E248" s="48" t="s">
        <v>126</v>
      </c>
      <c r="F248" s="39">
        <v>7490141.4699999997</v>
      </c>
      <c r="G248" s="39">
        <v>7490141.4699999997</v>
      </c>
      <c r="H248" s="39">
        <v>7489370</v>
      </c>
      <c r="I248" s="39">
        <f t="shared" si="132"/>
        <v>771.47</v>
      </c>
      <c r="J248" s="40">
        <f t="shared" si="133"/>
        <v>99.99</v>
      </c>
      <c r="K248" s="39"/>
      <c r="L248" s="39">
        <f t="shared" si="134"/>
        <v>99.99</v>
      </c>
      <c r="M248" s="39"/>
    </row>
    <row r="249" spans="1:13" s="1" customFormat="1" ht="46.8">
      <c r="A249" s="16" t="s">
        <v>266</v>
      </c>
      <c r="B249" s="18">
        <v>992</v>
      </c>
      <c r="C249" s="25" t="s">
        <v>149</v>
      </c>
      <c r="D249" s="47" t="s">
        <v>242</v>
      </c>
      <c r="E249" s="48" t="s">
        <v>27</v>
      </c>
      <c r="F249" s="39">
        <f>F250</f>
        <v>75657.990000000005</v>
      </c>
      <c r="G249" s="39">
        <f t="shared" ref="G249:H249" si="167">G250</f>
        <v>231653.86</v>
      </c>
      <c r="H249" s="39">
        <f t="shared" si="167"/>
        <v>231630</v>
      </c>
      <c r="I249" s="39">
        <f t="shared" si="132"/>
        <v>23.86</v>
      </c>
      <c r="J249" s="40">
        <f t="shared" si="133"/>
        <v>306.14999999999998</v>
      </c>
      <c r="K249" s="39"/>
      <c r="L249" s="39">
        <f t="shared" si="134"/>
        <v>99.99</v>
      </c>
      <c r="M249" s="39"/>
    </row>
    <row r="250" spans="1:13" s="1" customFormat="1" ht="140.4">
      <c r="A250" s="29" t="s">
        <v>125</v>
      </c>
      <c r="B250" s="18">
        <v>992</v>
      </c>
      <c r="C250" s="25" t="s">
        <v>149</v>
      </c>
      <c r="D250" s="47" t="s">
        <v>242</v>
      </c>
      <c r="E250" s="48" t="s">
        <v>126</v>
      </c>
      <c r="F250" s="39">
        <f>75657.99</f>
        <v>75657.990000000005</v>
      </c>
      <c r="G250" s="39">
        <f t="shared" ref="G250" si="168">75657.99+155995.87</f>
        <v>231653.86</v>
      </c>
      <c r="H250" s="39">
        <v>231630</v>
      </c>
      <c r="I250" s="39">
        <f t="shared" si="132"/>
        <v>23.86</v>
      </c>
      <c r="J250" s="40">
        <f t="shared" si="133"/>
        <v>306.14999999999998</v>
      </c>
      <c r="K250" s="15" t="s">
        <v>598</v>
      </c>
      <c r="L250" s="39">
        <f t="shared" si="134"/>
        <v>99.99</v>
      </c>
      <c r="M250" s="39"/>
    </row>
    <row r="251" spans="1:13" s="1" customFormat="1" ht="15.6">
      <c r="A251" s="29" t="s">
        <v>185</v>
      </c>
      <c r="B251" s="18">
        <v>992</v>
      </c>
      <c r="C251" s="25" t="s">
        <v>186</v>
      </c>
      <c r="D251" s="18" t="s">
        <v>154</v>
      </c>
      <c r="E251" s="48" t="s">
        <v>27</v>
      </c>
      <c r="F251" s="26">
        <f>F252+F268+F275</f>
        <v>24650697.82</v>
      </c>
      <c r="G251" s="26">
        <f t="shared" ref="G251:H251" si="169">G252+G268+G275</f>
        <v>43272212.090000004</v>
      </c>
      <c r="H251" s="26">
        <f t="shared" si="169"/>
        <v>42043512.479999997</v>
      </c>
      <c r="I251" s="26">
        <f t="shared" si="132"/>
        <v>1228699.6100000001</v>
      </c>
      <c r="J251" s="27">
        <f t="shared" si="133"/>
        <v>170.56</v>
      </c>
      <c r="K251" s="26"/>
      <c r="L251" s="26">
        <f t="shared" si="134"/>
        <v>97.16</v>
      </c>
      <c r="M251" s="26"/>
    </row>
    <row r="252" spans="1:13" s="1" customFormat="1" ht="46.8">
      <c r="A252" s="16" t="s">
        <v>502</v>
      </c>
      <c r="B252" s="18">
        <v>992</v>
      </c>
      <c r="C252" s="25" t="s">
        <v>186</v>
      </c>
      <c r="D252" s="18" t="s">
        <v>243</v>
      </c>
      <c r="E252" s="48" t="s">
        <v>27</v>
      </c>
      <c r="F252" s="39">
        <f>F253</f>
        <v>14497456.58</v>
      </c>
      <c r="G252" s="39">
        <f t="shared" ref="G252:H252" si="170">G253</f>
        <v>18746431.489999998</v>
      </c>
      <c r="H252" s="39">
        <f t="shared" si="170"/>
        <v>18746431.489999998</v>
      </c>
      <c r="I252" s="39">
        <f t="shared" si="132"/>
        <v>0</v>
      </c>
      <c r="J252" s="40">
        <f t="shared" si="133"/>
        <v>129.31</v>
      </c>
      <c r="K252" s="39"/>
      <c r="L252" s="39">
        <f t="shared" si="134"/>
        <v>100</v>
      </c>
      <c r="M252" s="39"/>
    </row>
    <row r="253" spans="1:13" s="1" customFormat="1" ht="46.8">
      <c r="A253" s="16" t="s">
        <v>503</v>
      </c>
      <c r="B253" s="18">
        <v>992</v>
      </c>
      <c r="C253" s="25" t="s">
        <v>186</v>
      </c>
      <c r="D253" s="18" t="s">
        <v>457</v>
      </c>
      <c r="E253" s="48" t="s">
        <v>27</v>
      </c>
      <c r="F253" s="39">
        <f>F254+F259</f>
        <v>14497456.58</v>
      </c>
      <c r="G253" s="39">
        <f t="shared" ref="G253:H253" si="171">G254+G259</f>
        <v>18746431.489999998</v>
      </c>
      <c r="H253" s="39">
        <f t="shared" si="171"/>
        <v>18746431.489999998</v>
      </c>
      <c r="I253" s="39">
        <f t="shared" si="132"/>
        <v>0</v>
      </c>
      <c r="J253" s="40">
        <f t="shared" si="133"/>
        <v>129.31</v>
      </c>
      <c r="K253" s="39"/>
      <c r="L253" s="39">
        <f t="shared" si="134"/>
        <v>100</v>
      </c>
      <c r="M253" s="39"/>
    </row>
    <row r="254" spans="1:13" s="1" customFormat="1" ht="46.8">
      <c r="A254" s="16" t="s">
        <v>504</v>
      </c>
      <c r="B254" s="18">
        <v>992</v>
      </c>
      <c r="C254" s="25" t="s">
        <v>186</v>
      </c>
      <c r="D254" s="18" t="s">
        <v>458</v>
      </c>
      <c r="E254" s="48" t="s">
        <v>27</v>
      </c>
      <c r="F254" s="39">
        <f>F255+F257</f>
        <v>14497456.58</v>
      </c>
      <c r="G254" s="39">
        <f t="shared" ref="G254:H254" si="172">G255+G257</f>
        <v>14344916.66</v>
      </c>
      <c r="H254" s="39">
        <f t="shared" si="172"/>
        <v>14344916.66</v>
      </c>
      <c r="I254" s="39">
        <f t="shared" si="132"/>
        <v>0</v>
      </c>
      <c r="J254" s="40">
        <f t="shared" si="133"/>
        <v>98.95</v>
      </c>
      <c r="K254" s="39"/>
      <c r="L254" s="39">
        <f t="shared" si="134"/>
        <v>100</v>
      </c>
      <c r="M254" s="39"/>
    </row>
    <row r="255" spans="1:13" s="1" customFormat="1" ht="62.4">
      <c r="A255" s="29" t="s">
        <v>273</v>
      </c>
      <c r="B255" s="18">
        <v>992</v>
      </c>
      <c r="C255" s="25" t="s">
        <v>186</v>
      </c>
      <c r="D255" s="18" t="s">
        <v>459</v>
      </c>
      <c r="E255" s="48" t="s">
        <v>27</v>
      </c>
      <c r="F255" s="39">
        <f>F256</f>
        <v>13772583.75</v>
      </c>
      <c r="G255" s="39">
        <f t="shared" ref="G255:H255" si="173">G256</f>
        <v>13914569.15</v>
      </c>
      <c r="H255" s="39">
        <f t="shared" si="173"/>
        <v>13914569.15</v>
      </c>
      <c r="I255" s="39">
        <f t="shared" si="132"/>
        <v>0</v>
      </c>
      <c r="J255" s="40">
        <f t="shared" si="133"/>
        <v>101.03</v>
      </c>
      <c r="K255" s="39"/>
      <c r="L255" s="39">
        <f t="shared" si="134"/>
        <v>100</v>
      </c>
      <c r="M255" s="39"/>
    </row>
    <row r="256" spans="1:13" s="1" customFormat="1" ht="31.2">
      <c r="A256" s="29" t="s">
        <v>125</v>
      </c>
      <c r="B256" s="18">
        <v>992</v>
      </c>
      <c r="C256" s="25" t="s">
        <v>186</v>
      </c>
      <c r="D256" s="18" t="s">
        <v>459</v>
      </c>
      <c r="E256" s="48" t="s">
        <v>126</v>
      </c>
      <c r="F256" s="55">
        <f>13772583.75</f>
        <v>13772583.75</v>
      </c>
      <c r="G256" s="55">
        <v>13914569.15</v>
      </c>
      <c r="H256" s="55">
        <v>13914569.15</v>
      </c>
      <c r="I256" s="55">
        <f t="shared" si="132"/>
        <v>0</v>
      </c>
      <c r="J256" s="56">
        <f t="shared" si="133"/>
        <v>101.03</v>
      </c>
      <c r="K256" s="15"/>
      <c r="L256" s="15">
        <f t="shared" si="134"/>
        <v>100</v>
      </c>
      <c r="M256" s="15"/>
    </row>
    <row r="257" spans="1:13" s="1" customFormat="1" ht="62.4">
      <c r="A257" s="29" t="s">
        <v>274</v>
      </c>
      <c r="B257" s="18">
        <v>992</v>
      </c>
      <c r="C257" s="25" t="s">
        <v>186</v>
      </c>
      <c r="D257" s="18" t="s">
        <v>459</v>
      </c>
      <c r="E257" s="48" t="s">
        <v>27</v>
      </c>
      <c r="F257" s="39">
        <f>F258</f>
        <v>724872.83</v>
      </c>
      <c r="G257" s="39">
        <f t="shared" ref="G257:H257" si="174">G258</f>
        <v>430347.51</v>
      </c>
      <c r="H257" s="39">
        <f t="shared" si="174"/>
        <v>430347.51</v>
      </c>
      <c r="I257" s="39">
        <f t="shared" si="132"/>
        <v>0</v>
      </c>
      <c r="J257" s="40">
        <f t="shared" si="133"/>
        <v>59.37</v>
      </c>
      <c r="K257" s="39"/>
      <c r="L257" s="39">
        <f t="shared" si="134"/>
        <v>100</v>
      </c>
      <c r="M257" s="39"/>
    </row>
    <row r="258" spans="1:13" s="1" customFormat="1" ht="140.4">
      <c r="A258" s="29" t="s">
        <v>125</v>
      </c>
      <c r="B258" s="18">
        <v>992</v>
      </c>
      <c r="C258" s="25" t="s">
        <v>186</v>
      </c>
      <c r="D258" s="18" t="s">
        <v>459</v>
      </c>
      <c r="E258" s="48" t="s">
        <v>126</v>
      </c>
      <c r="F258" s="39">
        <f>724872.83</f>
        <v>724872.83</v>
      </c>
      <c r="G258" s="39">
        <v>430347.51</v>
      </c>
      <c r="H258" s="39">
        <v>430347.51</v>
      </c>
      <c r="I258" s="39">
        <f t="shared" si="132"/>
        <v>0</v>
      </c>
      <c r="J258" s="40">
        <f t="shared" si="133"/>
        <v>59.37</v>
      </c>
      <c r="K258" s="15" t="s">
        <v>598</v>
      </c>
      <c r="L258" s="39">
        <f t="shared" si="134"/>
        <v>100</v>
      </c>
      <c r="M258" s="39"/>
    </row>
    <row r="259" spans="1:13" s="1" customFormat="1" ht="46.8">
      <c r="A259" s="16" t="s">
        <v>534</v>
      </c>
      <c r="B259" s="18">
        <v>992</v>
      </c>
      <c r="C259" s="25" t="s">
        <v>186</v>
      </c>
      <c r="D259" s="18" t="s">
        <v>533</v>
      </c>
      <c r="E259" s="48" t="s">
        <v>27</v>
      </c>
      <c r="F259" s="39">
        <f>F260+F262+F264+F266</f>
        <v>0</v>
      </c>
      <c r="G259" s="39">
        <f t="shared" ref="G259:H259" si="175">G260+G262+G264+G266</f>
        <v>4401514.83</v>
      </c>
      <c r="H259" s="39">
        <f t="shared" si="175"/>
        <v>4401514.83</v>
      </c>
      <c r="I259" s="39">
        <f t="shared" si="132"/>
        <v>0</v>
      </c>
      <c r="J259" s="40" t="e">
        <f t="shared" si="133"/>
        <v>#DIV/0!</v>
      </c>
      <c r="K259" s="39"/>
      <c r="L259" s="39">
        <f t="shared" si="134"/>
        <v>100</v>
      </c>
      <c r="M259" s="39"/>
    </row>
    <row r="260" spans="1:13" s="1" customFormat="1" ht="62.4">
      <c r="A260" s="29" t="s">
        <v>535</v>
      </c>
      <c r="B260" s="18">
        <v>992</v>
      </c>
      <c r="C260" s="25" t="s">
        <v>186</v>
      </c>
      <c r="D260" s="18" t="s">
        <v>536</v>
      </c>
      <c r="E260" s="48" t="s">
        <v>27</v>
      </c>
      <c r="F260" s="39">
        <f>F261</f>
        <v>0</v>
      </c>
      <c r="G260" s="39">
        <f t="shared" ref="G260:H260" si="176">G261</f>
        <v>2227500</v>
      </c>
      <c r="H260" s="39">
        <f t="shared" si="176"/>
        <v>2227500</v>
      </c>
      <c r="I260" s="39">
        <f t="shared" si="132"/>
        <v>0</v>
      </c>
      <c r="J260" s="40" t="e">
        <f t="shared" si="133"/>
        <v>#DIV/0!</v>
      </c>
      <c r="K260" s="39"/>
      <c r="L260" s="39">
        <f t="shared" si="134"/>
        <v>100</v>
      </c>
      <c r="M260" s="39"/>
    </row>
    <row r="261" spans="1:13" s="1" customFormat="1" ht="140.4">
      <c r="A261" s="29" t="s">
        <v>125</v>
      </c>
      <c r="B261" s="18">
        <v>992</v>
      </c>
      <c r="C261" s="25" t="s">
        <v>186</v>
      </c>
      <c r="D261" s="18" t="s">
        <v>536</v>
      </c>
      <c r="E261" s="48" t="s">
        <v>126</v>
      </c>
      <c r="F261" s="55">
        <v>0</v>
      </c>
      <c r="G261" s="55">
        <f t="shared" ref="G261:H261" si="177">2970000-742500</f>
        <v>2227500</v>
      </c>
      <c r="H261" s="55">
        <f t="shared" si="177"/>
        <v>2227500</v>
      </c>
      <c r="I261" s="55">
        <f t="shared" si="132"/>
        <v>0</v>
      </c>
      <c r="J261" s="56" t="e">
        <f t="shared" si="133"/>
        <v>#DIV/0!</v>
      </c>
      <c r="K261" s="15" t="s">
        <v>598</v>
      </c>
      <c r="L261" s="15">
        <f t="shared" si="134"/>
        <v>100</v>
      </c>
      <c r="M261" s="15"/>
    </row>
    <row r="262" spans="1:13" s="1" customFormat="1" ht="78">
      <c r="A262" s="29" t="s">
        <v>537</v>
      </c>
      <c r="B262" s="18">
        <v>992</v>
      </c>
      <c r="C262" s="25" t="s">
        <v>186</v>
      </c>
      <c r="D262" s="18" t="s">
        <v>536</v>
      </c>
      <c r="E262" s="48" t="s">
        <v>27</v>
      </c>
      <c r="F262" s="39">
        <f>F263</f>
        <v>0</v>
      </c>
      <c r="G262" s="39">
        <f t="shared" ref="G262:H262" si="178">G263</f>
        <v>22500</v>
      </c>
      <c r="H262" s="39">
        <f t="shared" si="178"/>
        <v>22500</v>
      </c>
      <c r="I262" s="39">
        <f t="shared" si="132"/>
        <v>0</v>
      </c>
      <c r="J262" s="40" t="e">
        <f t="shared" si="133"/>
        <v>#DIV/0!</v>
      </c>
      <c r="K262" s="39"/>
      <c r="L262" s="39">
        <f t="shared" si="134"/>
        <v>100</v>
      </c>
      <c r="M262" s="39"/>
    </row>
    <row r="263" spans="1:13" s="1" customFormat="1" ht="140.4">
      <c r="A263" s="29" t="s">
        <v>125</v>
      </c>
      <c r="B263" s="18">
        <v>992</v>
      </c>
      <c r="C263" s="25" t="s">
        <v>186</v>
      </c>
      <c r="D263" s="18" t="s">
        <v>536</v>
      </c>
      <c r="E263" s="48" t="s">
        <v>126</v>
      </c>
      <c r="F263" s="55">
        <v>0</v>
      </c>
      <c r="G263" s="55">
        <f t="shared" ref="G263:H263" si="179">30000-7500</f>
        <v>22500</v>
      </c>
      <c r="H263" s="55">
        <f t="shared" si="179"/>
        <v>22500</v>
      </c>
      <c r="I263" s="55">
        <f t="shared" si="132"/>
        <v>0</v>
      </c>
      <c r="J263" s="56" t="e">
        <f t="shared" si="133"/>
        <v>#DIV/0!</v>
      </c>
      <c r="K263" s="15" t="s">
        <v>598</v>
      </c>
      <c r="L263" s="15">
        <f t="shared" si="134"/>
        <v>100</v>
      </c>
      <c r="M263" s="15"/>
    </row>
    <row r="264" spans="1:13" s="1" customFormat="1" ht="62.4">
      <c r="A264" s="29" t="s">
        <v>539</v>
      </c>
      <c r="B264" s="18">
        <v>992</v>
      </c>
      <c r="C264" s="25" t="s">
        <v>186</v>
      </c>
      <c r="D264" s="18" t="s">
        <v>538</v>
      </c>
      <c r="E264" s="48" t="s">
        <v>27</v>
      </c>
      <c r="F264" s="39">
        <f>F265</f>
        <v>0</v>
      </c>
      <c r="G264" s="39">
        <f t="shared" ref="G264:H264" si="180">G265</f>
        <v>2129999.6800000002</v>
      </c>
      <c r="H264" s="39">
        <f t="shared" si="180"/>
        <v>2129999.6800000002</v>
      </c>
      <c r="I264" s="39">
        <f t="shared" si="132"/>
        <v>0</v>
      </c>
      <c r="J264" s="40" t="e">
        <f t="shared" si="133"/>
        <v>#DIV/0!</v>
      </c>
      <c r="K264" s="39"/>
      <c r="L264" s="39">
        <f t="shared" si="134"/>
        <v>100</v>
      </c>
      <c r="M264" s="39"/>
    </row>
    <row r="265" spans="1:13" s="1" customFormat="1" ht="140.4">
      <c r="A265" s="29" t="s">
        <v>125</v>
      </c>
      <c r="B265" s="18">
        <v>992</v>
      </c>
      <c r="C265" s="25" t="s">
        <v>186</v>
      </c>
      <c r="D265" s="18" t="s">
        <v>538</v>
      </c>
      <c r="E265" s="48" t="s">
        <v>126</v>
      </c>
      <c r="F265" s="55">
        <v>0</v>
      </c>
      <c r="G265" s="55">
        <f t="shared" ref="G265:H265" si="181">3000000-870000.32</f>
        <v>2129999.6800000002</v>
      </c>
      <c r="H265" s="55">
        <f t="shared" si="181"/>
        <v>2129999.6800000002</v>
      </c>
      <c r="I265" s="55">
        <f t="shared" si="132"/>
        <v>0</v>
      </c>
      <c r="J265" s="56" t="e">
        <f t="shared" si="133"/>
        <v>#DIV/0!</v>
      </c>
      <c r="K265" s="15" t="s">
        <v>598</v>
      </c>
      <c r="L265" s="15">
        <f t="shared" si="134"/>
        <v>100</v>
      </c>
      <c r="M265" s="15"/>
    </row>
    <row r="266" spans="1:13" s="1" customFormat="1" ht="78">
      <c r="A266" s="29" t="s">
        <v>540</v>
      </c>
      <c r="B266" s="18">
        <v>992</v>
      </c>
      <c r="C266" s="25" t="s">
        <v>186</v>
      </c>
      <c r="D266" s="18" t="s">
        <v>538</v>
      </c>
      <c r="E266" s="48" t="s">
        <v>27</v>
      </c>
      <c r="F266" s="39">
        <f>F267</f>
        <v>0</v>
      </c>
      <c r="G266" s="39">
        <f t="shared" ref="G266:H266" si="182">G267</f>
        <v>21515.15</v>
      </c>
      <c r="H266" s="39">
        <f t="shared" si="182"/>
        <v>21515.15</v>
      </c>
      <c r="I266" s="39">
        <f t="shared" si="132"/>
        <v>0</v>
      </c>
      <c r="J266" s="40" t="e">
        <f t="shared" si="133"/>
        <v>#DIV/0!</v>
      </c>
      <c r="K266" s="39"/>
      <c r="L266" s="39">
        <f t="shared" si="134"/>
        <v>100</v>
      </c>
      <c r="M266" s="39"/>
    </row>
    <row r="267" spans="1:13" s="1" customFormat="1" ht="140.4">
      <c r="A267" s="29" t="s">
        <v>125</v>
      </c>
      <c r="B267" s="18">
        <v>992</v>
      </c>
      <c r="C267" s="25" t="s">
        <v>186</v>
      </c>
      <c r="D267" s="18" t="s">
        <v>538</v>
      </c>
      <c r="E267" s="48" t="s">
        <v>126</v>
      </c>
      <c r="F267" s="55">
        <v>0</v>
      </c>
      <c r="G267" s="55">
        <f t="shared" ref="G267:H267" si="183">30303.04-8787.89</f>
        <v>21515.15</v>
      </c>
      <c r="H267" s="55">
        <f t="shared" si="183"/>
        <v>21515.15</v>
      </c>
      <c r="I267" s="55">
        <f t="shared" si="132"/>
        <v>0</v>
      </c>
      <c r="J267" s="56" t="e">
        <f t="shared" si="133"/>
        <v>#DIV/0!</v>
      </c>
      <c r="K267" s="15" t="s">
        <v>598</v>
      </c>
      <c r="L267" s="15">
        <f t="shared" si="134"/>
        <v>100</v>
      </c>
      <c r="M267" s="15"/>
    </row>
    <row r="268" spans="1:13" s="1" customFormat="1" ht="46.8">
      <c r="A268" s="28" t="s">
        <v>460</v>
      </c>
      <c r="B268" s="18">
        <v>992</v>
      </c>
      <c r="C268" s="25" t="s">
        <v>186</v>
      </c>
      <c r="D268" s="18" t="s">
        <v>172</v>
      </c>
      <c r="E268" s="48" t="s">
        <v>27</v>
      </c>
      <c r="F268" s="26">
        <f>F269</f>
        <v>944812.94</v>
      </c>
      <c r="G268" s="26">
        <f t="shared" ref="G268:H269" si="184">G269</f>
        <v>806754</v>
      </c>
      <c r="H268" s="26">
        <f t="shared" si="184"/>
        <v>806754</v>
      </c>
      <c r="I268" s="26">
        <f t="shared" ref="I268:I331" si="185">$G268-$H268</f>
        <v>0</v>
      </c>
      <c r="J268" s="27">
        <f t="shared" ref="J268:J331" si="186">$H268/$F268*100</f>
        <v>85.39</v>
      </c>
      <c r="K268" s="26"/>
      <c r="L268" s="26">
        <f t="shared" ref="L268:L331" si="187">$H268/$G268*100</f>
        <v>100</v>
      </c>
      <c r="M268" s="26"/>
    </row>
    <row r="269" spans="1:13" s="1" customFormat="1" ht="31.2">
      <c r="A269" s="16" t="s">
        <v>462</v>
      </c>
      <c r="B269" s="18">
        <v>992</v>
      </c>
      <c r="C269" s="25" t="s">
        <v>186</v>
      </c>
      <c r="D269" s="18" t="s">
        <v>464</v>
      </c>
      <c r="E269" s="48" t="s">
        <v>27</v>
      </c>
      <c r="F269" s="39">
        <f>F270</f>
        <v>944812.94</v>
      </c>
      <c r="G269" s="39">
        <f t="shared" si="184"/>
        <v>806754</v>
      </c>
      <c r="H269" s="39">
        <f t="shared" si="184"/>
        <v>806754</v>
      </c>
      <c r="I269" s="39">
        <f t="shared" si="185"/>
        <v>0</v>
      </c>
      <c r="J269" s="40">
        <f t="shared" si="186"/>
        <v>85.39</v>
      </c>
      <c r="K269" s="39"/>
      <c r="L269" s="39">
        <f t="shared" si="187"/>
        <v>100</v>
      </c>
      <c r="M269" s="39"/>
    </row>
    <row r="270" spans="1:13" s="1" customFormat="1" ht="46.8">
      <c r="A270" s="16" t="s">
        <v>463</v>
      </c>
      <c r="B270" s="18">
        <v>992</v>
      </c>
      <c r="C270" s="25" t="s">
        <v>186</v>
      </c>
      <c r="D270" s="18" t="s">
        <v>465</v>
      </c>
      <c r="E270" s="48" t="s">
        <v>27</v>
      </c>
      <c r="F270" s="39">
        <f>F271+F273</f>
        <v>944812.94</v>
      </c>
      <c r="G270" s="39">
        <f t="shared" ref="G270:H270" si="188">G271+G273</f>
        <v>806754</v>
      </c>
      <c r="H270" s="39">
        <f t="shared" si="188"/>
        <v>806754</v>
      </c>
      <c r="I270" s="39">
        <f t="shared" si="185"/>
        <v>0</v>
      </c>
      <c r="J270" s="40">
        <f t="shared" si="186"/>
        <v>85.39</v>
      </c>
      <c r="K270" s="39"/>
      <c r="L270" s="39">
        <f t="shared" si="187"/>
        <v>100</v>
      </c>
      <c r="M270" s="39"/>
    </row>
    <row r="271" spans="1:13" s="1" customFormat="1" ht="78">
      <c r="A271" s="60" t="s">
        <v>267</v>
      </c>
      <c r="B271" s="18">
        <v>992</v>
      </c>
      <c r="C271" s="25" t="s">
        <v>186</v>
      </c>
      <c r="D271" s="18" t="s">
        <v>476</v>
      </c>
      <c r="E271" s="48" t="s">
        <v>27</v>
      </c>
      <c r="F271" s="39">
        <f>F272</f>
        <v>897572.29</v>
      </c>
      <c r="G271" s="39">
        <f t="shared" ref="G271:H271" si="189">G272</f>
        <v>403377</v>
      </c>
      <c r="H271" s="39">
        <f t="shared" si="189"/>
        <v>403377</v>
      </c>
      <c r="I271" s="39">
        <f t="shared" si="185"/>
        <v>0</v>
      </c>
      <c r="J271" s="40">
        <f t="shared" si="186"/>
        <v>44.94</v>
      </c>
      <c r="K271" s="39"/>
      <c r="L271" s="39">
        <f t="shared" si="187"/>
        <v>100</v>
      </c>
      <c r="M271" s="39"/>
    </row>
    <row r="272" spans="1:13" s="1" customFormat="1" ht="140.4">
      <c r="A272" s="29" t="s">
        <v>125</v>
      </c>
      <c r="B272" s="18">
        <v>992</v>
      </c>
      <c r="C272" s="25" t="s">
        <v>186</v>
      </c>
      <c r="D272" s="18" t="s">
        <v>476</v>
      </c>
      <c r="E272" s="48" t="s">
        <v>126</v>
      </c>
      <c r="F272" s="39">
        <f>897572.29</f>
        <v>897572.29</v>
      </c>
      <c r="G272" s="39">
        <f t="shared" ref="G272:H272" si="190">897572.29-494195.29</f>
        <v>403377</v>
      </c>
      <c r="H272" s="39">
        <f t="shared" si="190"/>
        <v>403377</v>
      </c>
      <c r="I272" s="39">
        <f t="shared" si="185"/>
        <v>0</v>
      </c>
      <c r="J272" s="40">
        <f t="shared" si="186"/>
        <v>44.94</v>
      </c>
      <c r="K272" s="15" t="s">
        <v>598</v>
      </c>
      <c r="L272" s="39">
        <f t="shared" si="187"/>
        <v>100</v>
      </c>
      <c r="M272" s="39"/>
    </row>
    <row r="273" spans="1:13" s="1" customFormat="1" ht="78">
      <c r="A273" s="60" t="s">
        <v>268</v>
      </c>
      <c r="B273" s="18">
        <v>992</v>
      </c>
      <c r="C273" s="25" t="s">
        <v>186</v>
      </c>
      <c r="D273" s="18" t="s">
        <v>476</v>
      </c>
      <c r="E273" s="48" t="s">
        <v>27</v>
      </c>
      <c r="F273" s="39">
        <f>F274</f>
        <v>47240.65</v>
      </c>
      <c r="G273" s="39">
        <f t="shared" ref="G273:H273" si="191">G274</f>
        <v>403377</v>
      </c>
      <c r="H273" s="39">
        <f t="shared" si="191"/>
        <v>403377</v>
      </c>
      <c r="I273" s="39">
        <f t="shared" si="185"/>
        <v>0</v>
      </c>
      <c r="J273" s="40">
        <f t="shared" si="186"/>
        <v>853.88</v>
      </c>
      <c r="K273" s="39"/>
      <c r="L273" s="39">
        <f t="shared" si="187"/>
        <v>100</v>
      </c>
      <c r="M273" s="39"/>
    </row>
    <row r="274" spans="1:13" s="1" customFormat="1" ht="140.4">
      <c r="A274" s="29" t="s">
        <v>125</v>
      </c>
      <c r="B274" s="18">
        <v>992</v>
      </c>
      <c r="C274" s="25" t="s">
        <v>186</v>
      </c>
      <c r="D274" s="18" t="s">
        <v>476</v>
      </c>
      <c r="E274" s="48" t="s">
        <v>126</v>
      </c>
      <c r="F274" s="39">
        <f>47240.65</f>
        <v>47240.65</v>
      </c>
      <c r="G274" s="39">
        <f t="shared" ref="G274:H274" si="192">47240.65+356136.35</f>
        <v>403377</v>
      </c>
      <c r="H274" s="39">
        <f t="shared" si="192"/>
        <v>403377</v>
      </c>
      <c r="I274" s="39">
        <f t="shared" si="185"/>
        <v>0</v>
      </c>
      <c r="J274" s="40">
        <f t="shared" si="186"/>
        <v>853.88</v>
      </c>
      <c r="K274" s="15" t="s">
        <v>598</v>
      </c>
      <c r="L274" s="39">
        <f t="shared" si="187"/>
        <v>100</v>
      </c>
      <c r="M274" s="39"/>
    </row>
    <row r="275" spans="1:13" s="2" customFormat="1" ht="46.8">
      <c r="A275" s="25" t="s">
        <v>358</v>
      </c>
      <c r="B275" s="16">
        <v>992</v>
      </c>
      <c r="C275" s="28" t="s">
        <v>186</v>
      </c>
      <c r="D275" s="28" t="s">
        <v>155</v>
      </c>
      <c r="E275" s="28" t="s">
        <v>27</v>
      </c>
      <c r="F275" s="39">
        <f>F276</f>
        <v>9208428.3000000007</v>
      </c>
      <c r="G275" s="39">
        <f t="shared" ref="G275:H276" si="193">G276</f>
        <v>23719026.600000001</v>
      </c>
      <c r="H275" s="39">
        <f t="shared" si="193"/>
        <v>22490326.989999998</v>
      </c>
      <c r="I275" s="39">
        <f t="shared" si="185"/>
        <v>1228699.6100000001</v>
      </c>
      <c r="J275" s="40">
        <f t="shared" si="186"/>
        <v>244.24</v>
      </c>
      <c r="K275" s="39"/>
      <c r="L275" s="39">
        <f t="shared" si="187"/>
        <v>94.82</v>
      </c>
      <c r="M275" s="39"/>
    </row>
    <row r="276" spans="1:13" s="2" customFormat="1" ht="31.2">
      <c r="A276" s="18" t="s">
        <v>356</v>
      </c>
      <c r="B276" s="16">
        <v>992</v>
      </c>
      <c r="C276" s="28" t="s">
        <v>186</v>
      </c>
      <c r="D276" s="28" t="s">
        <v>284</v>
      </c>
      <c r="E276" s="28" t="s">
        <v>27</v>
      </c>
      <c r="F276" s="39">
        <f>F277</f>
        <v>9208428.3000000007</v>
      </c>
      <c r="G276" s="39">
        <f t="shared" si="193"/>
        <v>23719026.600000001</v>
      </c>
      <c r="H276" s="39">
        <f t="shared" si="193"/>
        <v>22490326.989999998</v>
      </c>
      <c r="I276" s="39">
        <f t="shared" si="185"/>
        <v>1228699.6100000001</v>
      </c>
      <c r="J276" s="40">
        <f t="shared" si="186"/>
        <v>244.24</v>
      </c>
      <c r="K276" s="39"/>
      <c r="L276" s="39">
        <f t="shared" si="187"/>
        <v>94.82</v>
      </c>
      <c r="M276" s="39"/>
    </row>
    <row r="277" spans="1:13" s="2" customFormat="1" ht="15.6">
      <c r="A277" s="18" t="s">
        <v>357</v>
      </c>
      <c r="B277" s="16">
        <v>992</v>
      </c>
      <c r="C277" s="28" t="s">
        <v>186</v>
      </c>
      <c r="D277" s="28" t="s">
        <v>281</v>
      </c>
      <c r="E277" s="28" t="s">
        <v>27</v>
      </c>
      <c r="F277" s="39">
        <f>F280+F282+F284+F278</f>
        <v>9208428.3000000007</v>
      </c>
      <c r="G277" s="39">
        <f t="shared" ref="G277:H277" si="194">G280+G282+G284+G278</f>
        <v>23719026.600000001</v>
      </c>
      <c r="H277" s="39">
        <f t="shared" si="194"/>
        <v>22490326.989999998</v>
      </c>
      <c r="I277" s="39">
        <f t="shared" si="185"/>
        <v>1228699.6100000001</v>
      </c>
      <c r="J277" s="40">
        <f t="shared" si="186"/>
        <v>244.24</v>
      </c>
      <c r="K277" s="39"/>
      <c r="L277" s="39">
        <f t="shared" si="187"/>
        <v>94.82</v>
      </c>
      <c r="M277" s="39"/>
    </row>
    <row r="278" spans="1:13" s="1" customFormat="1" ht="31.2">
      <c r="A278" s="18" t="s">
        <v>359</v>
      </c>
      <c r="B278" s="18">
        <v>992</v>
      </c>
      <c r="C278" s="25" t="s">
        <v>186</v>
      </c>
      <c r="D278" s="18" t="s">
        <v>222</v>
      </c>
      <c r="E278" s="25" t="s">
        <v>27</v>
      </c>
      <c r="F278" s="32">
        <f>F279</f>
        <v>0</v>
      </c>
      <c r="G278" s="32">
        <f t="shared" ref="G278:H278" si="195">G279</f>
        <v>1984000</v>
      </c>
      <c r="H278" s="32">
        <f t="shared" si="195"/>
        <v>1984000</v>
      </c>
      <c r="I278" s="32">
        <f t="shared" si="185"/>
        <v>0</v>
      </c>
      <c r="J278" s="33" t="e">
        <f t="shared" si="186"/>
        <v>#DIV/0!</v>
      </c>
      <c r="K278" s="32"/>
      <c r="L278" s="32">
        <f t="shared" si="187"/>
        <v>100</v>
      </c>
      <c r="M278" s="32"/>
    </row>
    <row r="279" spans="1:13" s="1" customFormat="1" ht="140.4">
      <c r="A279" s="18" t="s">
        <v>125</v>
      </c>
      <c r="B279" s="18">
        <v>992</v>
      </c>
      <c r="C279" s="25" t="s">
        <v>186</v>
      </c>
      <c r="D279" s="18" t="s">
        <v>222</v>
      </c>
      <c r="E279" s="18">
        <v>240</v>
      </c>
      <c r="F279" s="32">
        <v>0</v>
      </c>
      <c r="G279" s="32">
        <v>1984000</v>
      </c>
      <c r="H279" s="32">
        <v>1984000</v>
      </c>
      <c r="I279" s="32">
        <f t="shared" si="185"/>
        <v>0</v>
      </c>
      <c r="J279" s="33" t="e">
        <f t="shared" si="186"/>
        <v>#DIV/0!</v>
      </c>
      <c r="K279" s="34" t="s">
        <v>599</v>
      </c>
      <c r="L279" s="32">
        <f t="shared" si="187"/>
        <v>100</v>
      </c>
      <c r="M279" s="34"/>
    </row>
    <row r="280" spans="1:13" s="1" customFormat="1" ht="31.2">
      <c r="A280" s="29" t="s">
        <v>305</v>
      </c>
      <c r="B280" s="18">
        <v>992</v>
      </c>
      <c r="C280" s="25" t="s">
        <v>186</v>
      </c>
      <c r="D280" s="18" t="s">
        <v>456</v>
      </c>
      <c r="E280" s="48" t="s">
        <v>27</v>
      </c>
      <c r="F280" s="39">
        <f>F281</f>
        <v>266000</v>
      </c>
      <c r="G280" s="39">
        <f t="shared" ref="G280:H280" si="196">G281</f>
        <v>150000</v>
      </c>
      <c r="H280" s="39">
        <f t="shared" si="196"/>
        <v>134500</v>
      </c>
      <c r="I280" s="39">
        <f t="shared" si="185"/>
        <v>15500</v>
      </c>
      <c r="J280" s="40">
        <f t="shared" si="186"/>
        <v>50.56</v>
      </c>
      <c r="K280" s="39"/>
      <c r="L280" s="39">
        <f t="shared" si="187"/>
        <v>89.67</v>
      </c>
      <c r="M280" s="39"/>
    </row>
    <row r="281" spans="1:13" s="1" customFormat="1" ht="31.2">
      <c r="A281" s="29" t="s">
        <v>125</v>
      </c>
      <c r="B281" s="18">
        <v>992</v>
      </c>
      <c r="C281" s="25" t="s">
        <v>186</v>
      </c>
      <c r="D281" s="18" t="s">
        <v>456</v>
      </c>
      <c r="E281" s="48" t="s">
        <v>126</v>
      </c>
      <c r="F281" s="39">
        <f>266000</f>
        <v>266000</v>
      </c>
      <c r="G281" s="39">
        <f t="shared" ref="G281" si="197">266000-116000</f>
        <v>150000</v>
      </c>
      <c r="H281" s="39">
        <v>134500</v>
      </c>
      <c r="I281" s="39">
        <f t="shared" si="185"/>
        <v>15500</v>
      </c>
      <c r="J281" s="40">
        <f t="shared" si="186"/>
        <v>50.56</v>
      </c>
      <c r="K281" s="39"/>
      <c r="L281" s="39">
        <f t="shared" si="187"/>
        <v>89.67</v>
      </c>
      <c r="M281" s="39"/>
    </row>
    <row r="282" spans="1:13" s="1" customFormat="1" ht="31.2">
      <c r="A282" s="45" t="s">
        <v>306</v>
      </c>
      <c r="B282" s="18">
        <v>992</v>
      </c>
      <c r="C282" s="25" t="s">
        <v>186</v>
      </c>
      <c r="D282" s="18" t="s">
        <v>307</v>
      </c>
      <c r="E282" s="48" t="s">
        <v>27</v>
      </c>
      <c r="F282" s="39">
        <f>F283</f>
        <v>2064428.3</v>
      </c>
      <c r="G282" s="39">
        <f t="shared" ref="G282:H282" si="198">G283</f>
        <v>2377840.4500000002</v>
      </c>
      <c r="H282" s="39">
        <f t="shared" si="198"/>
        <v>2315954.4500000002</v>
      </c>
      <c r="I282" s="39">
        <f t="shared" si="185"/>
        <v>61886</v>
      </c>
      <c r="J282" s="40">
        <f t="shared" si="186"/>
        <v>112.18</v>
      </c>
      <c r="K282" s="39"/>
      <c r="L282" s="39">
        <f t="shared" si="187"/>
        <v>97.4</v>
      </c>
      <c r="M282" s="39"/>
    </row>
    <row r="283" spans="1:13" s="1" customFormat="1" ht="31.2">
      <c r="A283" s="29" t="s">
        <v>125</v>
      </c>
      <c r="B283" s="18">
        <v>992</v>
      </c>
      <c r="C283" s="25" t="s">
        <v>186</v>
      </c>
      <c r="D283" s="18" t="s">
        <v>307</v>
      </c>
      <c r="E283" s="48" t="s">
        <v>126</v>
      </c>
      <c r="F283" s="39">
        <f>2064428.3</f>
        <v>2064428.3</v>
      </c>
      <c r="G283" s="39">
        <f t="shared" ref="G283" si="199">2064428.3+1495000-1181587.85</f>
        <v>2377840.4500000002</v>
      </c>
      <c r="H283" s="39">
        <v>2315954.4500000002</v>
      </c>
      <c r="I283" s="39">
        <f t="shared" si="185"/>
        <v>61886</v>
      </c>
      <c r="J283" s="40">
        <f t="shared" si="186"/>
        <v>112.18</v>
      </c>
      <c r="K283" s="39"/>
      <c r="L283" s="39">
        <f t="shared" si="187"/>
        <v>97.4</v>
      </c>
      <c r="M283" s="39"/>
    </row>
    <row r="284" spans="1:13" s="1" customFormat="1" ht="31.2">
      <c r="A284" s="45" t="s">
        <v>309</v>
      </c>
      <c r="B284" s="18">
        <v>992</v>
      </c>
      <c r="C284" s="25" t="s">
        <v>186</v>
      </c>
      <c r="D284" s="18" t="s">
        <v>308</v>
      </c>
      <c r="E284" s="48" t="s">
        <v>27</v>
      </c>
      <c r="F284" s="39">
        <f>F285</f>
        <v>6878000</v>
      </c>
      <c r="G284" s="39">
        <f t="shared" ref="G284:H284" si="200">G285</f>
        <v>19207186.149999999</v>
      </c>
      <c r="H284" s="39">
        <f t="shared" si="200"/>
        <v>18055872.539999999</v>
      </c>
      <c r="I284" s="39">
        <f t="shared" si="185"/>
        <v>1151313.6100000001</v>
      </c>
      <c r="J284" s="40">
        <f t="shared" si="186"/>
        <v>262.52</v>
      </c>
      <c r="K284" s="39"/>
      <c r="L284" s="39">
        <f t="shared" si="187"/>
        <v>94.01</v>
      </c>
      <c r="M284" s="39"/>
    </row>
    <row r="285" spans="1:13" s="1" customFormat="1" ht="31.2">
      <c r="A285" s="29" t="s">
        <v>125</v>
      </c>
      <c r="B285" s="18">
        <v>992</v>
      </c>
      <c r="C285" s="25" t="s">
        <v>186</v>
      </c>
      <c r="D285" s="18" t="s">
        <v>308</v>
      </c>
      <c r="E285" s="48" t="s">
        <v>126</v>
      </c>
      <c r="F285" s="39">
        <f>6878000</f>
        <v>6878000</v>
      </c>
      <c r="G285" s="39">
        <v>19207186.149999999</v>
      </c>
      <c r="H285" s="39">
        <v>18055872.539999999</v>
      </c>
      <c r="I285" s="39">
        <f t="shared" si="185"/>
        <v>1151313.6100000001</v>
      </c>
      <c r="J285" s="40">
        <f t="shared" si="186"/>
        <v>262.52</v>
      </c>
      <c r="K285" s="39"/>
      <c r="L285" s="39">
        <f t="shared" si="187"/>
        <v>94.01</v>
      </c>
      <c r="M285" s="39"/>
    </row>
    <row r="286" spans="1:13" s="1" customFormat="1" ht="31.2">
      <c r="A286" s="28" t="s">
        <v>176</v>
      </c>
      <c r="B286" s="18">
        <v>992</v>
      </c>
      <c r="C286" s="28" t="s">
        <v>178</v>
      </c>
      <c r="D286" s="18" t="s">
        <v>154</v>
      </c>
      <c r="E286" s="28" t="s">
        <v>27</v>
      </c>
      <c r="F286" s="39">
        <f>F287</f>
        <v>5166.2</v>
      </c>
      <c r="G286" s="39">
        <f t="shared" ref="G286:H290" si="201">G287</f>
        <v>5166.2</v>
      </c>
      <c r="H286" s="39">
        <f t="shared" si="201"/>
        <v>5166.2</v>
      </c>
      <c r="I286" s="39">
        <f t="shared" si="185"/>
        <v>0</v>
      </c>
      <c r="J286" s="40">
        <f t="shared" si="186"/>
        <v>100</v>
      </c>
      <c r="K286" s="39"/>
      <c r="L286" s="39">
        <f t="shared" si="187"/>
        <v>100</v>
      </c>
      <c r="M286" s="39"/>
    </row>
    <row r="287" spans="1:13" s="1" customFormat="1" ht="46.8">
      <c r="A287" s="25" t="s">
        <v>358</v>
      </c>
      <c r="B287" s="16">
        <v>992</v>
      </c>
      <c r="C287" s="28" t="s">
        <v>178</v>
      </c>
      <c r="D287" s="28" t="s">
        <v>155</v>
      </c>
      <c r="E287" s="28" t="s">
        <v>27</v>
      </c>
      <c r="F287" s="39">
        <f>F288</f>
        <v>5166.2</v>
      </c>
      <c r="G287" s="39">
        <f t="shared" si="201"/>
        <v>5166.2</v>
      </c>
      <c r="H287" s="39">
        <f t="shared" si="201"/>
        <v>5166.2</v>
      </c>
      <c r="I287" s="39">
        <f t="shared" si="185"/>
        <v>0</v>
      </c>
      <c r="J287" s="40">
        <f t="shared" si="186"/>
        <v>100</v>
      </c>
      <c r="K287" s="39"/>
      <c r="L287" s="39">
        <f t="shared" si="187"/>
        <v>100</v>
      </c>
      <c r="M287" s="39"/>
    </row>
    <row r="288" spans="1:13" s="1" customFormat="1" ht="31.2">
      <c r="A288" s="18" t="s">
        <v>356</v>
      </c>
      <c r="B288" s="16">
        <v>992</v>
      </c>
      <c r="C288" s="28" t="s">
        <v>178</v>
      </c>
      <c r="D288" s="28" t="s">
        <v>284</v>
      </c>
      <c r="E288" s="28" t="s">
        <v>27</v>
      </c>
      <c r="F288" s="39">
        <f>F289</f>
        <v>5166.2</v>
      </c>
      <c r="G288" s="39">
        <f t="shared" si="201"/>
        <v>5166.2</v>
      </c>
      <c r="H288" s="39">
        <f t="shared" si="201"/>
        <v>5166.2</v>
      </c>
      <c r="I288" s="39">
        <f t="shared" si="185"/>
        <v>0</v>
      </c>
      <c r="J288" s="40">
        <f t="shared" si="186"/>
        <v>100</v>
      </c>
      <c r="K288" s="39"/>
      <c r="L288" s="39">
        <f t="shared" si="187"/>
        <v>100</v>
      </c>
      <c r="M288" s="39"/>
    </row>
    <row r="289" spans="1:13" s="1" customFormat="1" ht="15.6">
      <c r="A289" s="18" t="s">
        <v>357</v>
      </c>
      <c r="B289" s="16">
        <v>992</v>
      </c>
      <c r="C289" s="28" t="s">
        <v>178</v>
      </c>
      <c r="D289" s="28" t="s">
        <v>281</v>
      </c>
      <c r="E289" s="28" t="s">
        <v>27</v>
      </c>
      <c r="F289" s="39">
        <f>F290</f>
        <v>5166.2</v>
      </c>
      <c r="G289" s="39">
        <f t="shared" si="201"/>
        <v>5166.2</v>
      </c>
      <c r="H289" s="39">
        <f t="shared" si="201"/>
        <v>5166.2</v>
      </c>
      <c r="I289" s="39">
        <f t="shared" si="185"/>
        <v>0</v>
      </c>
      <c r="J289" s="40">
        <f t="shared" si="186"/>
        <v>100</v>
      </c>
      <c r="K289" s="39"/>
      <c r="L289" s="39">
        <f t="shared" si="187"/>
        <v>100</v>
      </c>
      <c r="M289" s="39"/>
    </row>
    <row r="290" spans="1:13" s="1" customFormat="1" ht="62.4">
      <c r="A290" s="53" t="s">
        <v>177</v>
      </c>
      <c r="B290" s="18">
        <v>992</v>
      </c>
      <c r="C290" s="28" t="s">
        <v>178</v>
      </c>
      <c r="D290" s="47" t="s">
        <v>429</v>
      </c>
      <c r="E290" s="65" t="s">
        <v>27</v>
      </c>
      <c r="F290" s="39">
        <f>F291</f>
        <v>5166.2</v>
      </c>
      <c r="G290" s="39">
        <f t="shared" si="201"/>
        <v>5166.2</v>
      </c>
      <c r="H290" s="39">
        <f t="shared" si="201"/>
        <v>5166.2</v>
      </c>
      <c r="I290" s="39">
        <f t="shared" si="185"/>
        <v>0</v>
      </c>
      <c r="J290" s="40">
        <f t="shared" si="186"/>
        <v>100</v>
      </c>
      <c r="K290" s="39"/>
      <c r="L290" s="39">
        <f t="shared" si="187"/>
        <v>100</v>
      </c>
      <c r="M290" s="39"/>
    </row>
    <row r="291" spans="1:13" s="1" customFormat="1" ht="31.2">
      <c r="A291" s="16" t="s">
        <v>127</v>
      </c>
      <c r="B291" s="18">
        <v>992</v>
      </c>
      <c r="C291" s="28" t="s">
        <v>178</v>
      </c>
      <c r="D291" s="47" t="s">
        <v>429</v>
      </c>
      <c r="E291" s="65" t="s">
        <v>128</v>
      </c>
      <c r="F291" s="55">
        <v>5166.2</v>
      </c>
      <c r="G291" s="55">
        <v>5166.2</v>
      </c>
      <c r="H291" s="55">
        <v>5166.2</v>
      </c>
      <c r="I291" s="55">
        <f t="shared" si="185"/>
        <v>0</v>
      </c>
      <c r="J291" s="56">
        <f t="shared" si="186"/>
        <v>100</v>
      </c>
      <c r="K291" s="15"/>
      <c r="L291" s="15">
        <f t="shared" si="187"/>
        <v>100</v>
      </c>
      <c r="M291" s="15"/>
    </row>
    <row r="292" spans="1:13" s="2" customFormat="1" ht="15.6">
      <c r="A292" s="21" t="s">
        <v>32</v>
      </c>
      <c r="B292" s="59">
        <v>992</v>
      </c>
      <c r="C292" s="67" t="s">
        <v>46</v>
      </c>
      <c r="D292" s="59" t="s">
        <v>154</v>
      </c>
      <c r="E292" s="67" t="s">
        <v>27</v>
      </c>
      <c r="F292" s="57">
        <f t="shared" ref="F292:H297" si="202">F293</f>
        <v>605000</v>
      </c>
      <c r="G292" s="57">
        <f t="shared" si="202"/>
        <v>605000</v>
      </c>
      <c r="H292" s="57">
        <f t="shared" si="202"/>
        <v>605000</v>
      </c>
      <c r="I292" s="57">
        <f t="shared" si="185"/>
        <v>0</v>
      </c>
      <c r="J292" s="58">
        <f t="shared" si="186"/>
        <v>100</v>
      </c>
      <c r="K292" s="57"/>
      <c r="L292" s="57">
        <f t="shared" si="187"/>
        <v>100</v>
      </c>
      <c r="M292" s="57"/>
    </row>
    <row r="293" spans="1:13" s="2" customFormat="1" ht="15.6">
      <c r="A293" s="16" t="s">
        <v>34</v>
      </c>
      <c r="B293" s="18">
        <v>992</v>
      </c>
      <c r="C293" s="25" t="s">
        <v>91</v>
      </c>
      <c r="D293" s="18" t="s">
        <v>154</v>
      </c>
      <c r="E293" s="25" t="s">
        <v>27</v>
      </c>
      <c r="F293" s="26">
        <f>F294</f>
        <v>605000</v>
      </c>
      <c r="G293" s="26">
        <f t="shared" si="202"/>
        <v>605000</v>
      </c>
      <c r="H293" s="26">
        <f t="shared" si="202"/>
        <v>605000</v>
      </c>
      <c r="I293" s="26">
        <f t="shared" si="185"/>
        <v>0</v>
      </c>
      <c r="J293" s="27">
        <f t="shared" si="186"/>
        <v>100</v>
      </c>
      <c r="K293" s="26"/>
      <c r="L293" s="26">
        <f t="shared" si="187"/>
        <v>100</v>
      </c>
      <c r="M293" s="26"/>
    </row>
    <row r="294" spans="1:13" s="1" customFormat="1" ht="46.8">
      <c r="A294" s="60" t="s">
        <v>505</v>
      </c>
      <c r="B294" s="16">
        <v>992</v>
      </c>
      <c r="C294" s="25" t="s">
        <v>91</v>
      </c>
      <c r="D294" s="28" t="s">
        <v>0</v>
      </c>
      <c r="E294" s="28" t="s">
        <v>27</v>
      </c>
      <c r="F294" s="39">
        <f>F295</f>
        <v>605000</v>
      </c>
      <c r="G294" s="39">
        <f t="shared" si="202"/>
        <v>605000</v>
      </c>
      <c r="H294" s="39">
        <f t="shared" si="202"/>
        <v>605000</v>
      </c>
      <c r="I294" s="39">
        <f t="shared" si="185"/>
        <v>0</v>
      </c>
      <c r="J294" s="40">
        <f t="shared" si="186"/>
        <v>100</v>
      </c>
      <c r="K294" s="39"/>
      <c r="L294" s="39">
        <f t="shared" si="187"/>
        <v>100</v>
      </c>
      <c r="M294" s="39"/>
    </row>
    <row r="295" spans="1:13" s="1" customFormat="1" ht="62.4">
      <c r="A295" s="60" t="s">
        <v>506</v>
      </c>
      <c r="B295" s="16">
        <v>992</v>
      </c>
      <c r="C295" s="25" t="s">
        <v>91</v>
      </c>
      <c r="D295" s="28" t="s">
        <v>1</v>
      </c>
      <c r="E295" s="28" t="s">
        <v>27</v>
      </c>
      <c r="F295" s="39">
        <f>F296</f>
        <v>605000</v>
      </c>
      <c r="G295" s="39">
        <f t="shared" si="202"/>
        <v>605000</v>
      </c>
      <c r="H295" s="39">
        <f t="shared" si="202"/>
        <v>605000</v>
      </c>
      <c r="I295" s="39">
        <f t="shared" si="185"/>
        <v>0</v>
      </c>
      <c r="J295" s="40">
        <f t="shared" si="186"/>
        <v>100</v>
      </c>
      <c r="K295" s="39"/>
      <c r="L295" s="39">
        <f t="shared" si="187"/>
        <v>100</v>
      </c>
      <c r="M295" s="39"/>
    </row>
    <row r="296" spans="1:13" s="1" customFormat="1" ht="62.4">
      <c r="A296" s="60" t="s">
        <v>507</v>
      </c>
      <c r="B296" s="16">
        <v>992</v>
      </c>
      <c r="C296" s="25" t="s">
        <v>91</v>
      </c>
      <c r="D296" s="28" t="s">
        <v>431</v>
      </c>
      <c r="E296" s="28" t="s">
        <v>27</v>
      </c>
      <c r="F296" s="39">
        <f>F297</f>
        <v>605000</v>
      </c>
      <c r="G296" s="39">
        <f t="shared" si="202"/>
        <v>605000</v>
      </c>
      <c r="H296" s="39">
        <f t="shared" si="202"/>
        <v>605000</v>
      </c>
      <c r="I296" s="39">
        <f t="shared" si="185"/>
        <v>0</v>
      </c>
      <c r="J296" s="40">
        <f t="shared" si="186"/>
        <v>100</v>
      </c>
      <c r="K296" s="39"/>
      <c r="L296" s="39">
        <f t="shared" si="187"/>
        <v>100</v>
      </c>
      <c r="M296" s="39"/>
    </row>
    <row r="297" spans="1:13" s="2" customFormat="1" ht="15.6">
      <c r="A297" s="18" t="s">
        <v>112</v>
      </c>
      <c r="B297" s="18">
        <v>992</v>
      </c>
      <c r="C297" s="25" t="s">
        <v>91</v>
      </c>
      <c r="D297" s="18" t="s">
        <v>430</v>
      </c>
      <c r="E297" s="25" t="s">
        <v>27</v>
      </c>
      <c r="F297" s="26">
        <f>F298</f>
        <v>605000</v>
      </c>
      <c r="G297" s="26">
        <f t="shared" si="202"/>
        <v>605000</v>
      </c>
      <c r="H297" s="26">
        <f t="shared" si="202"/>
        <v>605000</v>
      </c>
      <c r="I297" s="26">
        <f t="shared" si="185"/>
        <v>0</v>
      </c>
      <c r="J297" s="27">
        <f t="shared" si="186"/>
        <v>100</v>
      </c>
      <c r="K297" s="26"/>
      <c r="L297" s="26">
        <f t="shared" si="187"/>
        <v>100</v>
      </c>
      <c r="M297" s="26"/>
    </row>
    <row r="298" spans="1:13" s="2" customFormat="1" ht="31.2">
      <c r="A298" s="29" t="s">
        <v>125</v>
      </c>
      <c r="B298" s="18">
        <v>992</v>
      </c>
      <c r="C298" s="25" t="s">
        <v>91</v>
      </c>
      <c r="D298" s="18" t="s">
        <v>430</v>
      </c>
      <c r="E298" s="25" t="s">
        <v>126</v>
      </c>
      <c r="F298" s="39">
        <v>605000</v>
      </c>
      <c r="G298" s="39">
        <v>605000</v>
      </c>
      <c r="H298" s="39">
        <v>605000</v>
      </c>
      <c r="I298" s="39">
        <f t="shared" si="185"/>
        <v>0</v>
      </c>
      <c r="J298" s="40">
        <f t="shared" si="186"/>
        <v>100</v>
      </c>
      <c r="K298" s="39"/>
      <c r="L298" s="39">
        <f t="shared" si="187"/>
        <v>100</v>
      </c>
      <c r="M298" s="39"/>
    </row>
    <row r="299" spans="1:13" s="2" customFormat="1" ht="15.6">
      <c r="A299" s="21" t="s">
        <v>94</v>
      </c>
      <c r="B299" s="21">
        <v>992</v>
      </c>
      <c r="C299" s="22" t="s">
        <v>96</v>
      </c>
      <c r="D299" s="21" t="s">
        <v>154</v>
      </c>
      <c r="E299" s="22" t="s">
        <v>27</v>
      </c>
      <c r="F299" s="30">
        <f>F300</f>
        <v>300000</v>
      </c>
      <c r="G299" s="30">
        <f t="shared" ref="G299:H303" si="203">G300</f>
        <v>300000</v>
      </c>
      <c r="H299" s="30">
        <f t="shared" si="203"/>
        <v>299999.5</v>
      </c>
      <c r="I299" s="30">
        <f t="shared" si="185"/>
        <v>0.5</v>
      </c>
      <c r="J299" s="31">
        <f t="shared" si="186"/>
        <v>100</v>
      </c>
      <c r="K299" s="30"/>
      <c r="L299" s="30">
        <f t="shared" si="187"/>
        <v>100</v>
      </c>
      <c r="M299" s="30"/>
    </row>
    <row r="300" spans="1:13" s="2" customFormat="1" ht="15.6">
      <c r="A300" s="18" t="s">
        <v>95</v>
      </c>
      <c r="B300" s="18">
        <v>992</v>
      </c>
      <c r="C300" s="25" t="s">
        <v>97</v>
      </c>
      <c r="D300" s="18" t="s">
        <v>154</v>
      </c>
      <c r="E300" s="25" t="s">
        <v>27</v>
      </c>
      <c r="F300" s="26">
        <f>F301</f>
        <v>300000</v>
      </c>
      <c r="G300" s="26">
        <f t="shared" si="203"/>
        <v>300000</v>
      </c>
      <c r="H300" s="26">
        <f t="shared" si="203"/>
        <v>299999.5</v>
      </c>
      <c r="I300" s="26">
        <f t="shared" si="185"/>
        <v>0.5</v>
      </c>
      <c r="J300" s="27">
        <f t="shared" si="186"/>
        <v>100</v>
      </c>
      <c r="K300" s="26"/>
      <c r="L300" s="26">
        <f t="shared" si="187"/>
        <v>100</v>
      </c>
      <c r="M300" s="26"/>
    </row>
    <row r="301" spans="1:13" s="2" customFormat="1" ht="62.4">
      <c r="A301" s="18" t="s">
        <v>374</v>
      </c>
      <c r="B301" s="18">
        <v>992</v>
      </c>
      <c r="C301" s="25" t="s">
        <v>97</v>
      </c>
      <c r="D301" s="18" t="s">
        <v>2</v>
      </c>
      <c r="E301" s="25" t="s">
        <v>27</v>
      </c>
      <c r="F301" s="39">
        <f>F302</f>
        <v>300000</v>
      </c>
      <c r="G301" s="39">
        <f t="shared" si="203"/>
        <v>300000</v>
      </c>
      <c r="H301" s="39">
        <f t="shared" si="203"/>
        <v>299999.5</v>
      </c>
      <c r="I301" s="39">
        <f t="shared" si="185"/>
        <v>0.5</v>
      </c>
      <c r="J301" s="40">
        <f t="shared" si="186"/>
        <v>100</v>
      </c>
      <c r="K301" s="39"/>
      <c r="L301" s="39">
        <f t="shared" si="187"/>
        <v>100</v>
      </c>
      <c r="M301" s="39"/>
    </row>
    <row r="302" spans="1:13" s="2" customFormat="1" ht="46.8">
      <c r="A302" s="25" t="s">
        <v>375</v>
      </c>
      <c r="B302" s="18">
        <v>992</v>
      </c>
      <c r="C302" s="25" t="s">
        <v>97</v>
      </c>
      <c r="D302" s="18" t="s">
        <v>3</v>
      </c>
      <c r="E302" s="25" t="s">
        <v>27</v>
      </c>
      <c r="F302" s="39">
        <f>F303</f>
        <v>300000</v>
      </c>
      <c r="G302" s="39">
        <f t="shared" si="203"/>
        <v>300000</v>
      </c>
      <c r="H302" s="39">
        <f t="shared" si="203"/>
        <v>299999.5</v>
      </c>
      <c r="I302" s="39">
        <f t="shared" si="185"/>
        <v>0.5</v>
      </c>
      <c r="J302" s="40">
        <f t="shared" si="186"/>
        <v>100</v>
      </c>
      <c r="K302" s="39"/>
      <c r="L302" s="39">
        <f t="shared" si="187"/>
        <v>100</v>
      </c>
      <c r="M302" s="39"/>
    </row>
    <row r="303" spans="1:13" s="2" customFormat="1" ht="31.2">
      <c r="A303" s="29" t="s">
        <v>376</v>
      </c>
      <c r="B303" s="18">
        <v>992</v>
      </c>
      <c r="C303" s="25" t="s">
        <v>97</v>
      </c>
      <c r="D303" s="18" t="s">
        <v>4</v>
      </c>
      <c r="E303" s="25" t="s">
        <v>27</v>
      </c>
      <c r="F303" s="39">
        <f>F304</f>
        <v>300000</v>
      </c>
      <c r="G303" s="39">
        <f t="shared" si="203"/>
        <v>300000</v>
      </c>
      <c r="H303" s="39">
        <f t="shared" si="203"/>
        <v>299999.5</v>
      </c>
      <c r="I303" s="39">
        <f t="shared" si="185"/>
        <v>0.5</v>
      </c>
      <c r="J303" s="40">
        <f t="shared" si="186"/>
        <v>100</v>
      </c>
      <c r="K303" s="39"/>
      <c r="L303" s="39">
        <f t="shared" si="187"/>
        <v>100</v>
      </c>
      <c r="M303" s="39"/>
    </row>
    <row r="304" spans="1:13" s="2" customFormat="1" ht="31.2">
      <c r="A304" s="29" t="s">
        <v>125</v>
      </c>
      <c r="B304" s="18">
        <v>992</v>
      </c>
      <c r="C304" s="25" t="s">
        <v>97</v>
      </c>
      <c r="D304" s="18" t="s">
        <v>4</v>
      </c>
      <c r="E304" s="25" t="s">
        <v>126</v>
      </c>
      <c r="F304" s="39">
        <v>300000</v>
      </c>
      <c r="G304" s="39">
        <v>300000</v>
      </c>
      <c r="H304" s="39">
        <v>299999.5</v>
      </c>
      <c r="I304" s="39">
        <f t="shared" si="185"/>
        <v>0.5</v>
      </c>
      <c r="J304" s="40">
        <f t="shared" si="186"/>
        <v>100</v>
      </c>
      <c r="K304" s="39"/>
      <c r="L304" s="39">
        <f t="shared" si="187"/>
        <v>100</v>
      </c>
      <c r="M304" s="39"/>
    </row>
    <row r="305" spans="1:13" s="2" customFormat="1" ht="15.6">
      <c r="A305" s="21" t="s">
        <v>61</v>
      </c>
      <c r="B305" s="21">
        <v>992</v>
      </c>
      <c r="C305" s="75" t="s">
        <v>62</v>
      </c>
      <c r="D305" s="75" t="s">
        <v>154</v>
      </c>
      <c r="E305" s="75" t="s">
        <v>27</v>
      </c>
      <c r="F305" s="30">
        <f>F306+F312+F333</f>
        <v>61220591</v>
      </c>
      <c r="G305" s="30">
        <f t="shared" ref="G305:H305" si="204">G306+G312+G333</f>
        <v>61191644.770000003</v>
      </c>
      <c r="H305" s="30">
        <f t="shared" si="204"/>
        <v>57284353.950000003</v>
      </c>
      <c r="I305" s="30">
        <f t="shared" si="185"/>
        <v>3907290.82</v>
      </c>
      <c r="J305" s="31">
        <f t="shared" si="186"/>
        <v>93.57</v>
      </c>
      <c r="K305" s="30"/>
      <c r="L305" s="30">
        <f t="shared" si="187"/>
        <v>93.61</v>
      </c>
      <c r="M305" s="30"/>
    </row>
    <row r="306" spans="1:13" s="2" customFormat="1" ht="15.6">
      <c r="A306" s="25" t="s">
        <v>35</v>
      </c>
      <c r="B306" s="18">
        <v>992</v>
      </c>
      <c r="C306" s="48" t="s">
        <v>50</v>
      </c>
      <c r="D306" s="48" t="s">
        <v>154</v>
      </c>
      <c r="E306" s="48" t="s">
        <v>27</v>
      </c>
      <c r="F306" s="39">
        <f>F307</f>
        <v>3528000</v>
      </c>
      <c r="G306" s="39">
        <f t="shared" ref="G306:H307" si="205">G307</f>
        <v>3404530.91</v>
      </c>
      <c r="H306" s="39">
        <f t="shared" si="205"/>
        <v>3375859.86</v>
      </c>
      <c r="I306" s="39">
        <f t="shared" si="185"/>
        <v>28671.05</v>
      </c>
      <c r="J306" s="40">
        <f t="shared" si="186"/>
        <v>95.69</v>
      </c>
      <c r="K306" s="39"/>
      <c r="L306" s="39">
        <f t="shared" si="187"/>
        <v>99.16</v>
      </c>
      <c r="M306" s="39"/>
    </row>
    <row r="307" spans="1:13" s="2" customFormat="1" ht="46.8">
      <c r="A307" s="16" t="s">
        <v>336</v>
      </c>
      <c r="B307" s="18">
        <v>992</v>
      </c>
      <c r="C307" s="48" t="s">
        <v>50</v>
      </c>
      <c r="D307" s="48" t="s">
        <v>5</v>
      </c>
      <c r="E307" s="48" t="s">
        <v>27</v>
      </c>
      <c r="F307" s="39">
        <f>F308</f>
        <v>3528000</v>
      </c>
      <c r="G307" s="39">
        <f t="shared" si="205"/>
        <v>3404530.91</v>
      </c>
      <c r="H307" s="39">
        <f t="shared" si="205"/>
        <v>3375859.86</v>
      </c>
      <c r="I307" s="39">
        <f t="shared" si="185"/>
        <v>28671.05</v>
      </c>
      <c r="J307" s="40">
        <f t="shared" si="186"/>
        <v>95.69</v>
      </c>
      <c r="K307" s="39"/>
      <c r="L307" s="39">
        <f t="shared" si="187"/>
        <v>99.16</v>
      </c>
      <c r="M307" s="39"/>
    </row>
    <row r="308" spans="1:13" s="2" customFormat="1" ht="31.2">
      <c r="A308" s="45" t="s">
        <v>378</v>
      </c>
      <c r="B308" s="18">
        <v>992</v>
      </c>
      <c r="C308" s="48" t="s">
        <v>50</v>
      </c>
      <c r="D308" s="48" t="s">
        <v>377</v>
      </c>
      <c r="E308" s="48" t="s">
        <v>27</v>
      </c>
      <c r="F308" s="39">
        <f>F310</f>
        <v>3528000</v>
      </c>
      <c r="G308" s="39">
        <f t="shared" ref="G308:H308" si="206">G310</f>
        <v>3404530.91</v>
      </c>
      <c r="H308" s="39">
        <f t="shared" si="206"/>
        <v>3375859.86</v>
      </c>
      <c r="I308" s="39">
        <f t="shared" si="185"/>
        <v>28671.05</v>
      </c>
      <c r="J308" s="40">
        <f t="shared" si="186"/>
        <v>95.69</v>
      </c>
      <c r="K308" s="39"/>
      <c r="L308" s="39">
        <f t="shared" si="187"/>
        <v>99.16</v>
      </c>
      <c r="M308" s="39"/>
    </row>
    <row r="309" spans="1:13" s="2" customFormat="1" ht="31.2">
      <c r="A309" s="18" t="s">
        <v>381</v>
      </c>
      <c r="B309" s="18">
        <v>992</v>
      </c>
      <c r="C309" s="25">
        <v>1001</v>
      </c>
      <c r="D309" s="25" t="s">
        <v>380</v>
      </c>
      <c r="E309" s="25" t="s">
        <v>27</v>
      </c>
      <c r="F309" s="39">
        <f>F310</f>
        <v>3528000</v>
      </c>
      <c r="G309" s="39">
        <f t="shared" ref="G309:H310" si="207">G310</f>
        <v>3404530.91</v>
      </c>
      <c r="H309" s="39">
        <f t="shared" si="207"/>
        <v>3375859.86</v>
      </c>
      <c r="I309" s="39">
        <f t="shared" si="185"/>
        <v>28671.05</v>
      </c>
      <c r="J309" s="40">
        <f t="shared" si="186"/>
        <v>95.69</v>
      </c>
      <c r="K309" s="39"/>
      <c r="L309" s="39">
        <f t="shared" si="187"/>
        <v>99.16</v>
      </c>
      <c r="M309" s="39"/>
    </row>
    <row r="310" spans="1:13" s="2" customFormat="1" ht="15.6">
      <c r="A310" s="18" t="s">
        <v>113</v>
      </c>
      <c r="B310" s="18">
        <v>992</v>
      </c>
      <c r="C310" s="25">
        <v>1001</v>
      </c>
      <c r="D310" s="25" t="s">
        <v>379</v>
      </c>
      <c r="E310" s="25" t="s">
        <v>27</v>
      </c>
      <c r="F310" s="39">
        <f>F311</f>
        <v>3528000</v>
      </c>
      <c r="G310" s="39">
        <f t="shared" si="207"/>
        <v>3404530.91</v>
      </c>
      <c r="H310" s="39">
        <f t="shared" si="207"/>
        <v>3375859.86</v>
      </c>
      <c r="I310" s="39">
        <f t="shared" si="185"/>
        <v>28671.05</v>
      </c>
      <c r="J310" s="40">
        <f t="shared" si="186"/>
        <v>95.69</v>
      </c>
      <c r="K310" s="39"/>
      <c r="L310" s="39">
        <f t="shared" si="187"/>
        <v>99.16</v>
      </c>
      <c r="M310" s="39"/>
    </row>
    <row r="311" spans="1:13" s="2" customFormat="1" ht="31.2">
      <c r="A311" s="18" t="s">
        <v>134</v>
      </c>
      <c r="B311" s="18">
        <v>992</v>
      </c>
      <c r="C311" s="25">
        <v>1001</v>
      </c>
      <c r="D311" s="25" t="s">
        <v>379</v>
      </c>
      <c r="E311" s="25" t="s">
        <v>135</v>
      </c>
      <c r="F311" s="39">
        <f>3528000</f>
        <v>3528000</v>
      </c>
      <c r="G311" s="39">
        <f t="shared" ref="G311" si="208">3528000+288000+113615-525084.09</f>
        <v>3404530.91</v>
      </c>
      <c r="H311" s="39">
        <v>3375859.86</v>
      </c>
      <c r="I311" s="39">
        <f t="shared" si="185"/>
        <v>28671.05</v>
      </c>
      <c r="J311" s="40">
        <f t="shared" si="186"/>
        <v>95.69</v>
      </c>
      <c r="K311" s="39"/>
      <c r="L311" s="39">
        <f t="shared" si="187"/>
        <v>99.16</v>
      </c>
      <c r="M311" s="39"/>
    </row>
    <row r="312" spans="1:13" s="2" customFormat="1" ht="15.6">
      <c r="A312" s="25" t="s">
        <v>76</v>
      </c>
      <c r="B312" s="18">
        <v>992</v>
      </c>
      <c r="C312" s="25" t="s">
        <v>77</v>
      </c>
      <c r="D312" s="25" t="s">
        <v>154</v>
      </c>
      <c r="E312" s="48" t="s">
        <v>27</v>
      </c>
      <c r="F312" s="26">
        <f>F313+F320</f>
        <v>55447612.840000004</v>
      </c>
      <c r="G312" s="26">
        <f t="shared" ref="G312:H312" si="209">G313+G320</f>
        <v>54717306.710000001</v>
      </c>
      <c r="H312" s="26">
        <f t="shared" si="209"/>
        <v>50900755.939999998</v>
      </c>
      <c r="I312" s="26">
        <f t="shared" si="185"/>
        <v>3816550.77</v>
      </c>
      <c r="J312" s="27">
        <f t="shared" si="186"/>
        <v>91.8</v>
      </c>
      <c r="K312" s="26"/>
      <c r="L312" s="26">
        <f t="shared" si="187"/>
        <v>93.02</v>
      </c>
      <c r="M312" s="26"/>
    </row>
    <row r="313" spans="1:13" s="2" customFormat="1" ht="46.8">
      <c r="A313" s="16" t="s">
        <v>336</v>
      </c>
      <c r="B313" s="18">
        <v>992</v>
      </c>
      <c r="C313" s="48" t="s">
        <v>77</v>
      </c>
      <c r="D313" s="48" t="s">
        <v>5</v>
      </c>
      <c r="E313" s="48" t="s">
        <v>27</v>
      </c>
      <c r="F313" s="26">
        <f t="shared" ref="F313:H315" si="210">F314</f>
        <v>13962739.970000001</v>
      </c>
      <c r="G313" s="26">
        <f t="shared" si="210"/>
        <v>10774867.710000001</v>
      </c>
      <c r="H313" s="26">
        <f t="shared" si="210"/>
        <v>8549228.9399999995</v>
      </c>
      <c r="I313" s="26">
        <f t="shared" si="185"/>
        <v>2225638.77</v>
      </c>
      <c r="J313" s="27">
        <f t="shared" si="186"/>
        <v>61.23</v>
      </c>
      <c r="K313" s="26"/>
      <c r="L313" s="26">
        <f t="shared" si="187"/>
        <v>79.34</v>
      </c>
      <c r="M313" s="26"/>
    </row>
    <row r="314" spans="1:13" s="2" customFormat="1" ht="31.2">
      <c r="A314" s="16" t="s">
        <v>24</v>
      </c>
      <c r="B314" s="48" t="s">
        <v>19</v>
      </c>
      <c r="C314" s="25" t="s">
        <v>77</v>
      </c>
      <c r="D314" s="25" t="s">
        <v>338</v>
      </c>
      <c r="E314" s="48" t="s">
        <v>27</v>
      </c>
      <c r="F314" s="26">
        <f>F315</f>
        <v>13962739.970000001</v>
      </c>
      <c r="G314" s="26">
        <f t="shared" si="210"/>
        <v>10774867.710000001</v>
      </c>
      <c r="H314" s="26">
        <f t="shared" si="210"/>
        <v>8549228.9399999995</v>
      </c>
      <c r="I314" s="26">
        <f t="shared" si="185"/>
        <v>2225638.77</v>
      </c>
      <c r="J314" s="27">
        <f t="shared" si="186"/>
        <v>61.23</v>
      </c>
      <c r="K314" s="26"/>
      <c r="L314" s="26">
        <f t="shared" si="187"/>
        <v>79.34</v>
      </c>
      <c r="M314" s="26"/>
    </row>
    <row r="315" spans="1:13" s="2" customFormat="1" ht="46.8">
      <c r="A315" s="18" t="s">
        <v>382</v>
      </c>
      <c r="B315" s="18">
        <v>992</v>
      </c>
      <c r="C315" s="25" t="s">
        <v>77</v>
      </c>
      <c r="D315" s="25" t="s">
        <v>339</v>
      </c>
      <c r="E315" s="25" t="s">
        <v>27</v>
      </c>
      <c r="F315" s="39">
        <f>F316</f>
        <v>13962739.970000001</v>
      </c>
      <c r="G315" s="39">
        <f t="shared" si="210"/>
        <v>10774867.710000001</v>
      </c>
      <c r="H315" s="39">
        <f t="shared" si="210"/>
        <v>8549228.9399999995</v>
      </c>
      <c r="I315" s="39">
        <f t="shared" si="185"/>
        <v>2225638.77</v>
      </c>
      <c r="J315" s="40">
        <f t="shared" si="186"/>
        <v>61.23</v>
      </c>
      <c r="K315" s="39"/>
      <c r="L315" s="39">
        <f t="shared" si="187"/>
        <v>79.34</v>
      </c>
      <c r="M315" s="39"/>
    </row>
    <row r="316" spans="1:13" s="2" customFormat="1" ht="93.6">
      <c r="A316" s="16" t="s">
        <v>238</v>
      </c>
      <c r="B316" s="16">
        <v>992</v>
      </c>
      <c r="C316" s="28" t="s">
        <v>77</v>
      </c>
      <c r="D316" s="28" t="s">
        <v>489</v>
      </c>
      <c r="E316" s="65" t="s">
        <v>27</v>
      </c>
      <c r="F316" s="39">
        <f>F317+F318+F319</f>
        <v>13962739.970000001</v>
      </c>
      <c r="G316" s="39">
        <f t="shared" ref="G316:H316" si="211">G317+G318+G319</f>
        <v>10774867.710000001</v>
      </c>
      <c r="H316" s="39">
        <f t="shared" si="211"/>
        <v>8549228.9399999995</v>
      </c>
      <c r="I316" s="39">
        <f t="shared" si="185"/>
        <v>2225638.77</v>
      </c>
      <c r="J316" s="40">
        <f t="shared" si="186"/>
        <v>61.23</v>
      </c>
      <c r="K316" s="39"/>
      <c r="L316" s="39">
        <f t="shared" si="187"/>
        <v>79.34</v>
      </c>
      <c r="M316" s="39"/>
    </row>
    <row r="317" spans="1:13" s="2" customFormat="1" ht="31.2">
      <c r="A317" s="53" t="s">
        <v>125</v>
      </c>
      <c r="B317" s="16">
        <v>992</v>
      </c>
      <c r="C317" s="28" t="s">
        <v>77</v>
      </c>
      <c r="D317" s="28" t="s">
        <v>489</v>
      </c>
      <c r="E317" s="65" t="s">
        <v>126</v>
      </c>
      <c r="F317" s="39">
        <f>160000</f>
        <v>160000</v>
      </c>
      <c r="G317" s="39">
        <f t="shared" ref="G317:H317" si="212">160000-4722.05</f>
        <v>155277.95000000001</v>
      </c>
      <c r="H317" s="39">
        <f t="shared" si="212"/>
        <v>155277.95000000001</v>
      </c>
      <c r="I317" s="39">
        <f t="shared" si="185"/>
        <v>0</v>
      </c>
      <c r="J317" s="40">
        <f t="shared" si="186"/>
        <v>97.05</v>
      </c>
      <c r="K317" s="39"/>
      <c r="L317" s="39">
        <f t="shared" si="187"/>
        <v>100</v>
      </c>
      <c r="M317" s="39"/>
    </row>
    <row r="318" spans="1:13" s="2" customFormat="1" ht="140.4">
      <c r="A318" s="62" t="s">
        <v>134</v>
      </c>
      <c r="B318" s="16">
        <v>992</v>
      </c>
      <c r="C318" s="28" t="s">
        <v>77</v>
      </c>
      <c r="D318" s="28" t="s">
        <v>489</v>
      </c>
      <c r="E318" s="65" t="s">
        <v>135</v>
      </c>
      <c r="F318" s="39">
        <f>9756747.17</f>
        <v>9756747.1699999999</v>
      </c>
      <c r="G318" s="39">
        <f t="shared" ref="G318" si="213">9756747.17-190076.51</f>
        <v>9566670.6600000001</v>
      </c>
      <c r="H318" s="39">
        <v>7369988.8399999999</v>
      </c>
      <c r="I318" s="39">
        <f t="shared" si="185"/>
        <v>2196681.8199999998</v>
      </c>
      <c r="J318" s="40">
        <f t="shared" si="186"/>
        <v>75.540000000000006</v>
      </c>
      <c r="K318" s="15" t="s">
        <v>598</v>
      </c>
      <c r="L318" s="39">
        <f t="shared" si="187"/>
        <v>77.040000000000006</v>
      </c>
      <c r="M318" s="15" t="s">
        <v>598</v>
      </c>
    </row>
    <row r="319" spans="1:13" s="2" customFormat="1" ht="140.4">
      <c r="A319" s="62" t="s">
        <v>134</v>
      </c>
      <c r="B319" s="16">
        <v>992</v>
      </c>
      <c r="C319" s="28" t="s">
        <v>77</v>
      </c>
      <c r="D319" s="28" t="s">
        <v>489</v>
      </c>
      <c r="E319" s="65" t="s">
        <v>137</v>
      </c>
      <c r="F319" s="39">
        <f>4045992.8</f>
        <v>4045992.8</v>
      </c>
      <c r="G319" s="39">
        <f t="shared" ref="G319" si="214">4045992.8-2993073.7</f>
        <v>1052919.1000000001</v>
      </c>
      <c r="H319" s="39">
        <v>1023962.15</v>
      </c>
      <c r="I319" s="39">
        <f t="shared" si="185"/>
        <v>28956.95</v>
      </c>
      <c r="J319" s="40">
        <f t="shared" si="186"/>
        <v>25.31</v>
      </c>
      <c r="K319" s="15" t="s">
        <v>598</v>
      </c>
      <c r="L319" s="39">
        <f t="shared" si="187"/>
        <v>97.25</v>
      </c>
      <c r="M319" s="39"/>
    </row>
    <row r="320" spans="1:13" s="2" customFormat="1" ht="62.4">
      <c r="A320" s="16" t="s">
        <v>385</v>
      </c>
      <c r="B320" s="18">
        <v>992</v>
      </c>
      <c r="C320" s="25" t="s">
        <v>77</v>
      </c>
      <c r="D320" s="25" t="s">
        <v>175</v>
      </c>
      <c r="E320" s="25" t="s">
        <v>27</v>
      </c>
      <c r="F320" s="26">
        <f>F321+F327</f>
        <v>41484872.869999997</v>
      </c>
      <c r="G320" s="26">
        <f t="shared" ref="G320:H320" si="215">G321+G327</f>
        <v>43942439</v>
      </c>
      <c r="H320" s="26">
        <f t="shared" si="215"/>
        <v>42351527</v>
      </c>
      <c r="I320" s="26">
        <f t="shared" si="185"/>
        <v>1590912</v>
      </c>
      <c r="J320" s="27">
        <f t="shared" si="186"/>
        <v>102.09</v>
      </c>
      <c r="K320" s="26"/>
      <c r="L320" s="26">
        <f t="shared" si="187"/>
        <v>96.38</v>
      </c>
      <c r="M320" s="26"/>
    </row>
    <row r="321" spans="1:13" s="2" customFormat="1" ht="31.2">
      <c r="A321" s="16" t="s">
        <v>386</v>
      </c>
      <c r="B321" s="18">
        <v>992</v>
      </c>
      <c r="C321" s="25" t="s">
        <v>77</v>
      </c>
      <c r="D321" s="25" t="s">
        <v>6</v>
      </c>
      <c r="E321" s="25" t="s">
        <v>27</v>
      </c>
      <c r="F321" s="26">
        <f>F322</f>
        <v>6366471.4699999997</v>
      </c>
      <c r="G321" s="26">
        <f t="shared" ref="G321:H321" si="216">G322</f>
        <v>7679975</v>
      </c>
      <c r="H321" s="26">
        <f t="shared" si="216"/>
        <v>7679975</v>
      </c>
      <c r="I321" s="26">
        <f t="shared" si="185"/>
        <v>0</v>
      </c>
      <c r="J321" s="27">
        <f t="shared" si="186"/>
        <v>120.63</v>
      </c>
      <c r="K321" s="26"/>
      <c r="L321" s="26">
        <f t="shared" si="187"/>
        <v>100</v>
      </c>
      <c r="M321" s="26"/>
    </row>
    <row r="322" spans="1:13" s="2" customFormat="1" ht="46.8">
      <c r="A322" s="16" t="s">
        <v>480</v>
      </c>
      <c r="B322" s="18">
        <v>992</v>
      </c>
      <c r="C322" s="25" t="s">
        <v>77</v>
      </c>
      <c r="D322" s="25" t="s">
        <v>387</v>
      </c>
      <c r="E322" s="25" t="s">
        <v>27</v>
      </c>
      <c r="F322" s="26">
        <f>F323+F325</f>
        <v>6366471.4699999997</v>
      </c>
      <c r="G322" s="26">
        <f t="shared" ref="G322:H322" si="217">G323+G325</f>
        <v>7679975</v>
      </c>
      <c r="H322" s="26">
        <f t="shared" si="217"/>
        <v>7679975</v>
      </c>
      <c r="I322" s="26">
        <f t="shared" si="185"/>
        <v>0</v>
      </c>
      <c r="J322" s="27">
        <f t="shared" si="186"/>
        <v>120.63</v>
      </c>
      <c r="K322" s="26"/>
      <c r="L322" s="26">
        <f t="shared" si="187"/>
        <v>100</v>
      </c>
      <c r="M322" s="26"/>
    </row>
    <row r="323" spans="1:13" s="2" customFormat="1" ht="62.4">
      <c r="A323" s="16" t="s">
        <v>259</v>
      </c>
      <c r="B323" s="18">
        <v>992</v>
      </c>
      <c r="C323" s="25" t="s">
        <v>77</v>
      </c>
      <c r="D323" s="25" t="s">
        <v>193</v>
      </c>
      <c r="E323" s="25" t="s">
        <v>27</v>
      </c>
      <c r="F323" s="26">
        <f>F324</f>
        <v>4715904.79</v>
      </c>
      <c r="G323" s="26">
        <f t="shared" ref="G323:H323" si="218">G324</f>
        <v>6029408.3200000003</v>
      </c>
      <c r="H323" s="26">
        <f t="shared" si="218"/>
        <v>6029408.3200000003</v>
      </c>
      <c r="I323" s="26">
        <f t="shared" si="185"/>
        <v>0</v>
      </c>
      <c r="J323" s="27">
        <f t="shared" si="186"/>
        <v>127.85</v>
      </c>
      <c r="K323" s="26"/>
      <c r="L323" s="26">
        <f t="shared" si="187"/>
        <v>100</v>
      </c>
      <c r="M323" s="26"/>
    </row>
    <row r="324" spans="1:13" s="2" customFormat="1" ht="140.4">
      <c r="A324" s="18" t="s">
        <v>136</v>
      </c>
      <c r="B324" s="18">
        <v>992</v>
      </c>
      <c r="C324" s="25" t="s">
        <v>77</v>
      </c>
      <c r="D324" s="25" t="s">
        <v>193</v>
      </c>
      <c r="E324" s="25" t="s">
        <v>137</v>
      </c>
      <c r="F324" s="36">
        <f>4715904.79</f>
        <v>4715904.79</v>
      </c>
      <c r="G324" s="36">
        <f t="shared" ref="G324:H324" si="219">4715904.79+1313503.53</f>
        <v>6029408.3200000003</v>
      </c>
      <c r="H324" s="36">
        <f t="shared" si="219"/>
        <v>6029408.3200000003</v>
      </c>
      <c r="I324" s="36">
        <f t="shared" si="185"/>
        <v>0</v>
      </c>
      <c r="J324" s="37">
        <f t="shared" si="186"/>
        <v>127.85</v>
      </c>
      <c r="K324" s="38" t="s">
        <v>598</v>
      </c>
      <c r="L324" s="38">
        <f t="shared" si="187"/>
        <v>100</v>
      </c>
      <c r="M324" s="38"/>
    </row>
    <row r="325" spans="1:13" s="2" customFormat="1" ht="46.8">
      <c r="A325" s="18" t="s">
        <v>260</v>
      </c>
      <c r="B325" s="18">
        <v>992</v>
      </c>
      <c r="C325" s="25" t="s">
        <v>77</v>
      </c>
      <c r="D325" s="25" t="s">
        <v>193</v>
      </c>
      <c r="E325" s="25" t="s">
        <v>27</v>
      </c>
      <c r="F325" s="39">
        <f>F326</f>
        <v>1650566.68</v>
      </c>
      <c r="G325" s="39">
        <f t="shared" ref="G325:H325" si="220">G326</f>
        <v>1650566.68</v>
      </c>
      <c r="H325" s="39">
        <f t="shared" si="220"/>
        <v>1650566.68</v>
      </c>
      <c r="I325" s="39">
        <f t="shared" si="185"/>
        <v>0</v>
      </c>
      <c r="J325" s="40">
        <f t="shared" si="186"/>
        <v>100</v>
      </c>
      <c r="K325" s="39"/>
      <c r="L325" s="39">
        <f t="shared" si="187"/>
        <v>100</v>
      </c>
      <c r="M325" s="39"/>
    </row>
    <row r="326" spans="1:13" s="2" customFormat="1" ht="31.2">
      <c r="A326" s="18" t="s">
        <v>136</v>
      </c>
      <c r="B326" s="18">
        <v>992</v>
      </c>
      <c r="C326" s="25" t="s">
        <v>77</v>
      </c>
      <c r="D326" s="25" t="s">
        <v>193</v>
      </c>
      <c r="E326" s="25" t="s">
        <v>137</v>
      </c>
      <c r="F326" s="39">
        <v>1650566.68</v>
      </c>
      <c r="G326" s="39">
        <v>1650566.68</v>
      </c>
      <c r="H326" s="39">
        <v>1650566.68</v>
      </c>
      <c r="I326" s="39">
        <f t="shared" si="185"/>
        <v>0</v>
      </c>
      <c r="J326" s="40">
        <f t="shared" si="186"/>
        <v>100</v>
      </c>
      <c r="K326" s="39"/>
      <c r="L326" s="39">
        <f t="shared" si="187"/>
        <v>100</v>
      </c>
      <c r="M326" s="39"/>
    </row>
    <row r="327" spans="1:13" s="2" customFormat="1" ht="62.4">
      <c r="A327" s="62" t="s">
        <v>388</v>
      </c>
      <c r="B327" s="18">
        <v>992</v>
      </c>
      <c r="C327" s="25" t="s">
        <v>77</v>
      </c>
      <c r="D327" s="25" t="s">
        <v>209</v>
      </c>
      <c r="E327" s="25" t="s">
        <v>27</v>
      </c>
      <c r="F327" s="26">
        <f>F328</f>
        <v>35118401.399999999</v>
      </c>
      <c r="G327" s="26">
        <f t="shared" ref="G327:H327" si="221">G328</f>
        <v>36262464</v>
      </c>
      <c r="H327" s="26">
        <f t="shared" si="221"/>
        <v>34671552</v>
      </c>
      <c r="I327" s="26">
        <f t="shared" si="185"/>
        <v>1590912</v>
      </c>
      <c r="J327" s="27">
        <f t="shared" si="186"/>
        <v>98.73</v>
      </c>
      <c r="K327" s="26"/>
      <c r="L327" s="26">
        <f t="shared" si="187"/>
        <v>95.61</v>
      </c>
      <c r="M327" s="26"/>
    </row>
    <row r="328" spans="1:13" s="2" customFormat="1" ht="78">
      <c r="A328" s="16" t="s">
        <v>207</v>
      </c>
      <c r="B328" s="18">
        <v>992</v>
      </c>
      <c r="C328" s="25" t="s">
        <v>77</v>
      </c>
      <c r="D328" s="25" t="s">
        <v>210</v>
      </c>
      <c r="E328" s="25" t="s">
        <v>27</v>
      </c>
      <c r="F328" s="26">
        <f>F329+F331</f>
        <v>35118401.399999999</v>
      </c>
      <c r="G328" s="26">
        <f t="shared" ref="G328:H328" si="222">G329+G331</f>
        <v>36262464</v>
      </c>
      <c r="H328" s="26">
        <f t="shared" si="222"/>
        <v>34671552</v>
      </c>
      <c r="I328" s="26">
        <f t="shared" si="185"/>
        <v>1590912</v>
      </c>
      <c r="J328" s="27">
        <f t="shared" si="186"/>
        <v>98.73</v>
      </c>
      <c r="K328" s="26"/>
      <c r="L328" s="26">
        <f t="shared" si="187"/>
        <v>95.61</v>
      </c>
      <c r="M328" s="26"/>
    </row>
    <row r="329" spans="1:13" s="2" customFormat="1" ht="62.4">
      <c r="A329" s="16" t="s">
        <v>227</v>
      </c>
      <c r="B329" s="18">
        <v>992</v>
      </c>
      <c r="C329" s="25" t="s">
        <v>77</v>
      </c>
      <c r="D329" s="47" t="s">
        <v>245</v>
      </c>
      <c r="E329" s="25" t="s">
        <v>27</v>
      </c>
      <c r="F329" s="39">
        <f>F330</f>
        <v>13621230</v>
      </c>
      <c r="G329" s="39">
        <f t="shared" ref="G329:H329" si="223">G330</f>
        <v>12195264</v>
      </c>
      <c r="H329" s="39">
        <f t="shared" si="223"/>
        <v>12195264</v>
      </c>
      <c r="I329" s="39">
        <f t="shared" si="185"/>
        <v>0</v>
      </c>
      <c r="J329" s="40">
        <f t="shared" si="186"/>
        <v>89.53</v>
      </c>
      <c r="K329" s="39"/>
      <c r="L329" s="39">
        <f t="shared" si="187"/>
        <v>100</v>
      </c>
      <c r="M329" s="39"/>
    </row>
    <row r="330" spans="1:13" s="2" customFormat="1" ht="140.4">
      <c r="A330" s="25" t="s">
        <v>132</v>
      </c>
      <c r="B330" s="18">
        <v>992</v>
      </c>
      <c r="C330" s="25" t="s">
        <v>77</v>
      </c>
      <c r="D330" s="47" t="s">
        <v>245</v>
      </c>
      <c r="E330" s="25" t="s">
        <v>133</v>
      </c>
      <c r="F330" s="39">
        <f>13621230</f>
        <v>13621230</v>
      </c>
      <c r="G330" s="39">
        <f t="shared" ref="G330:H330" si="224">13621230-70830-1355136</f>
        <v>12195264</v>
      </c>
      <c r="H330" s="39">
        <f t="shared" si="224"/>
        <v>12195264</v>
      </c>
      <c r="I330" s="39">
        <f t="shared" si="185"/>
        <v>0</v>
      </c>
      <c r="J330" s="40">
        <f t="shared" si="186"/>
        <v>89.53</v>
      </c>
      <c r="K330" s="15" t="s">
        <v>598</v>
      </c>
      <c r="L330" s="39">
        <f t="shared" si="187"/>
        <v>100</v>
      </c>
      <c r="M330" s="39"/>
    </row>
    <row r="331" spans="1:13" s="2" customFormat="1" ht="62.4">
      <c r="A331" s="16" t="s">
        <v>208</v>
      </c>
      <c r="B331" s="18">
        <v>992</v>
      </c>
      <c r="C331" s="25" t="s">
        <v>77</v>
      </c>
      <c r="D331" s="47" t="s">
        <v>541</v>
      </c>
      <c r="E331" s="25" t="s">
        <v>27</v>
      </c>
      <c r="F331" s="39">
        <f>F332</f>
        <v>21497171.399999999</v>
      </c>
      <c r="G331" s="39">
        <f t="shared" ref="G331:H331" si="225">G332</f>
        <v>24067200</v>
      </c>
      <c r="H331" s="39">
        <f t="shared" si="225"/>
        <v>22476288</v>
      </c>
      <c r="I331" s="39">
        <f t="shared" si="185"/>
        <v>1590912</v>
      </c>
      <c r="J331" s="40">
        <f t="shared" si="186"/>
        <v>104.55</v>
      </c>
      <c r="K331" s="39"/>
      <c r="L331" s="39">
        <f t="shared" si="187"/>
        <v>93.39</v>
      </c>
      <c r="M331" s="39"/>
    </row>
    <row r="332" spans="1:13" s="2" customFormat="1" ht="124.8">
      <c r="A332" s="25" t="s">
        <v>132</v>
      </c>
      <c r="B332" s="18">
        <v>992</v>
      </c>
      <c r="C332" s="25" t="s">
        <v>77</v>
      </c>
      <c r="D332" s="47" t="s">
        <v>541</v>
      </c>
      <c r="E332" s="25" t="s">
        <v>133</v>
      </c>
      <c r="F332" s="39">
        <v>21497171.399999999</v>
      </c>
      <c r="G332" s="39">
        <f t="shared" ref="G332" si="226">20648704.2-2581504.2+6000000</f>
        <v>24067200</v>
      </c>
      <c r="H332" s="39">
        <v>22476288</v>
      </c>
      <c r="I332" s="39">
        <f t="shared" ref="I332:I395" si="227">$G332-$H332</f>
        <v>1590912</v>
      </c>
      <c r="J332" s="40">
        <f t="shared" ref="J332:J395" si="228">$H332/$F332*100</f>
        <v>104.55</v>
      </c>
      <c r="K332" s="39"/>
      <c r="L332" s="39">
        <f t="shared" ref="L332:L395" si="229">$H332/$G332*100</f>
        <v>93.39</v>
      </c>
      <c r="M332" s="15" t="s">
        <v>598</v>
      </c>
    </row>
    <row r="333" spans="1:13" s="2" customFormat="1" ht="15.6">
      <c r="A333" s="18" t="s">
        <v>114</v>
      </c>
      <c r="B333" s="18">
        <v>992</v>
      </c>
      <c r="C333" s="25" t="s">
        <v>115</v>
      </c>
      <c r="D333" s="25" t="s">
        <v>154</v>
      </c>
      <c r="E333" s="25" t="s">
        <v>27</v>
      </c>
      <c r="F333" s="26">
        <f>F334+F344</f>
        <v>2244978.16</v>
      </c>
      <c r="G333" s="26">
        <f t="shared" ref="G333:H333" si="230">G334+G344</f>
        <v>3069807.15</v>
      </c>
      <c r="H333" s="26">
        <f t="shared" si="230"/>
        <v>3007738.15</v>
      </c>
      <c r="I333" s="26">
        <f t="shared" si="227"/>
        <v>62069</v>
      </c>
      <c r="J333" s="27">
        <f t="shared" si="228"/>
        <v>133.97999999999999</v>
      </c>
      <c r="K333" s="26"/>
      <c r="L333" s="26">
        <f t="shared" si="229"/>
        <v>97.98</v>
      </c>
      <c r="M333" s="26"/>
    </row>
    <row r="334" spans="1:13" s="2" customFormat="1" ht="46.8">
      <c r="A334" s="16" t="s">
        <v>336</v>
      </c>
      <c r="B334" s="18">
        <v>992</v>
      </c>
      <c r="C334" s="48" t="s">
        <v>115</v>
      </c>
      <c r="D334" s="48" t="s">
        <v>5</v>
      </c>
      <c r="E334" s="48" t="s">
        <v>27</v>
      </c>
      <c r="F334" s="26">
        <f t="shared" ref="F334:H334" si="231">F335</f>
        <v>1000000</v>
      </c>
      <c r="G334" s="26">
        <f t="shared" si="231"/>
        <v>1037112.08</v>
      </c>
      <c r="H334" s="26">
        <f t="shared" si="231"/>
        <v>975043.08</v>
      </c>
      <c r="I334" s="26">
        <f t="shared" si="227"/>
        <v>62069</v>
      </c>
      <c r="J334" s="27">
        <f t="shared" si="228"/>
        <v>97.5</v>
      </c>
      <c r="K334" s="26"/>
      <c r="L334" s="26">
        <f t="shared" si="229"/>
        <v>94.02</v>
      </c>
      <c r="M334" s="26"/>
    </row>
    <row r="335" spans="1:13" s="2" customFormat="1" ht="15.6">
      <c r="A335" s="16" t="s">
        <v>7</v>
      </c>
      <c r="B335" s="18">
        <v>992</v>
      </c>
      <c r="C335" s="25" t="s">
        <v>115</v>
      </c>
      <c r="D335" s="25" t="s">
        <v>389</v>
      </c>
      <c r="E335" s="25" t="s">
        <v>27</v>
      </c>
      <c r="F335" s="39">
        <f>F336+F341</f>
        <v>1000000</v>
      </c>
      <c r="G335" s="39">
        <f t="shared" ref="G335:H335" si="232">G336+G341</f>
        <v>1037112.08</v>
      </c>
      <c r="H335" s="39">
        <f t="shared" si="232"/>
        <v>975043.08</v>
      </c>
      <c r="I335" s="39">
        <f t="shared" si="227"/>
        <v>62069</v>
      </c>
      <c r="J335" s="40">
        <f t="shared" si="228"/>
        <v>97.5</v>
      </c>
      <c r="K335" s="39"/>
      <c r="L335" s="39">
        <f t="shared" si="229"/>
        <v>94.02</v>
      </c>
      <c r="M335" s="39"/>
    </row>
    <row r="336" spans="1:13" s="2" customFormat="1" ht="78">
      <c r="A336" s="46" t="s">
        <v>390</v>
      </c>
      <c r="B336" s="18">
        <v>992</v>
      </c>
      <c r="C336" s="25" t="s">
        <v>115</v>
      </c>
      <c r="D336" s="47" t="s">
        <v>490</v>
      </c>
      <c r="E336" s="25" t="s">
        <v>27</v>
      </c>
      <c r="F336" s="39">
        <f>F339+F337</f>
        <v>950000</v>
      </c>
      <c r="G336" s="39">
        <f t="shared" ref="G336:H336" si="233">G339+G337</f>
        <v>987112.08</v>
      </c>
      <c r="H336" s="39">
        <f t="shared" si="233"/>
        <v>925043.08</v>
      </c>
      <c r="I336" s="39">
        <f t="shared" si="227"/>
        <v>62069</v>
      </c>
      <c r="J336" s="40">
        <f t="shared" si="228"/>
        <v>97.37</v>
      </c>
      <c r="K336" s="39"/>
      <c r="L336" s="39">
        <f t="shared" si="229"/>
        <v>93.71</v>
      </c>
      <c r="M336" s="39"/>
    </row>
    <row r="337" spans="1:13" s="2" customFormat="1" ht="62.4">
      <c r="A337" s="46" t="s">
        <v>492</v>
      </c>
      <c r="B337" s="18">
        <v>992</v>
      </c>
      <c r="C337" s="25" t="s">
        <v>115</v>
      </c>
      <c r="D337" s="47" t="s">
        <v>493</v>
      </c>
      <c r="E337" s="25" t="s">
        <v>27</v>
      </c>
      <c r="F337" s="39">
        <f>F338</f>
        <v>450000</v>
      </c>
      <c r="G337" s="39">
        <f t="shared" ref="G337:H337" si="234">G338</f>
        <v>450000</v>
      </c>
      <c r="H337" s="39">
        <f t="shared" si="234"/>
        <v>387931</v>
      </c>
      <c r="I337" s="39">
        <f t="shared" si="227"/>
        <v>62069</v>
      </c>
      <c r="J337" s="40">
        <f t="shared" si="228"/>
        <v>86.21</v>
      </c>
      <c r="K337" s="39"/>
      <c r="L337" s="39">
        <f t="shared" si="229"/>
        <v>86.21</v>
      </c>
      <c r="M337" s="39"/>
    </row>
    <row r="338" spans="1:13" s="2" customFormat="1" ht="31.2">
      <c r="A338" s="29" t="s">
        <v>125</v>
      </c>
      <c r="B338" s="18">
        <v>992</v>
      </c>
      <c r="C338" s="25" t="s">
        <v>115</v>
      </c>
      <c r="D338" s="47" t="s">
        <v>493</v>
      </c>
      <c r="E338" s="25" t="s">
        <v>126</v>
      </c>
      <c r="F338" s="39">
        <v>450000</v>
      </c>
      <c r="G338" s="39">
        <v>450000</v>
      </c>
      <c r="H338" s="39">
        <v>387931</v>
      </c>
      <c r="I338" s="39">
        <f t="shared" si="227"/>
        <v>62069</v>
      </c>
      <c r="J338" s="40">
        <f t="shared" si="228"/>
        <v>86.21</v>
      </c>
      <c r="K338" s="39"/>
      <c r="L338" s="39">
        <f t="shared" si="229"/>
        <v>86.21</v>
      </c>
      <c r="M338" s="39"/>
    </row>
    <row r="339" spans="1:13" s="2" customFormat="1" ht="46.8">
      <c r="A339" s="46" t="s">
        <v>491</v>
      </c>
      <c r="B339" s="18">
        <v>992</v>
      </c>
      <c r="C339" s="25" t="s">
        <v>115</v>
      </c>
      <c r="D339" s="47" t="s">
        <v>488</v>
      </c>
      <c r="E339" s="25" t="s">
        <v>27</v>
      </c>
      <c r="F339" s="39">
        <f>F340</f>
        <v>500000</v>
      </c>
      <c r="G339" s="39">
        <f t="shared" ref="G339:H339" si="235">G340</f>
        <v>537112.07999999996</v>
      </c>
      <c r="H339" s="39">
        <f t="shared" si="235"/>
        <v>537112.07999999996</v>
      </c>
      <c r="I339" s="39">
        <f t="shared" si="227"/>
        <v>0</v>
      </c>
      <c r="J339" s="40">
        <f t="shared" si="228"/>
        <v>107.42</v>
      </c>
      <c r="K339" s="39"/>
      <c r="L339" s="39">
        <f t="shared" si="229"/>
        <v>100</v>
      </c>
      <c r="M339" s="39"/>
    </row>
    <row r="340" spans="1:13" s="2" customFormat="1" ht="31.2">
      <c r="A340" s="29" t="s">
        <v>125</v>
      </c>
      <c r="B340" s="18">
        <v>992</v>
      </c>
      <c r="C340" s="25" t="s">
        <v>115</v>
      </c>
      <c r="D340" s="47" t="s">
        <v>488</v>
      </c>
      <c r="E340" s="25" t="s">
        <v>126</v>
      </c>
      <c r="F340" s="39">
        <v>500000</v>
      </c>
      <c r="G340" s="39">
        <f t="shared" ref="G340:H340" si="236">500000+37112.08</f>
        <v>537112.07999999996</v>
      </c>
      <c r="H340" s="39">
        <f t="shared" si="236"/>
        <v>537112.07999999996</v>
      </c>
      <c r="I340" s="39">
        <f t="shared" si="227"/>
        <v>0</v>
      </c>
      <c r="J340" s="40">
        <f t="shared" si="228"/>
        <v>107.42</v>
      </c>
      <c r="K340" s="39"/>
      <c r="L340" s="39">
        <f t="shared" si="229"/>
        <v>100</v>
      </c>
      <c r="M340" s="39"/>
    </row>
    <row r="341" spans="1:13" s="2" customFormat="1" ht="46.8">
      <c r="A341" s="46" t="s">
        <v>527</v>
      </c>
      <c r="B341" s="18">
        <v>992</v>
      </c>
      <c r="C341" s="25" t="s">
        <v>115</v>
      </c>
      <c r="D341" s="47" t="s">
        <v>526</v>
      </c>
      <c r="E341" s="25" t="s">
        <v>27</v>
      </c>
      <c r="F341" s="39">
        <f>F342</f>
        <v>50000</v>
      </c>
      <c r="G341" s="39">
        <f t="shared" ref="G341:H342" si="237">G342</f>
        <v>50000</v>
      </c>
      <c r="H341" s="39">
        <f t="shared" si="237"/>
        <v>50000</v>
      </c>
      <c r="I341" s="39">
        <f t="shared" si="227"/>
        <v>0</v>
      </c>
      <c r="J341" s="40">
        <f t="shared" si="228"/>
        <v>100</v>
      </c>
      <c r="K341" s="39"/>
      <c r="L341" s="39">
        <f t="shared" si="229"/>
        <v>100</v>
      </c>
      <c r="M341" s="39"/>
    </row>
    <row r="342" spans="1:13" s="2" customFormat="1" ht="31.2">
      <c r="A342" s="46" t="s">
        <v>529</v>
      </c>
      <c r="B342" s="18">
        <v>992</v>
      </c>
      <c r="C342" s="25" t="s">
        <v>115</v>
      </c>
      <c r="D342" s="47" t="s">
        <v>528</v>
      </c>
      <c r="E342" s="25" t="s">
        <v>27</v>
      </c>
      <c r="F342" s="39">
        <f>F343</f>
        <v>50000</v>
      </c>
      <c r="G342" s="39">
        <f t="shared" si="237"/>
        <v>50000</v>
      </c>
      <c r="H342" s="39">
        <f t="shared" si="237"/>
        <v>50000</v>
      </c>
      <c r="I342" s="39">
        <f t="shared" si="227"/>
        <v>0</v>
      </c>
      <c r="J342" s="40">
        <f t="shared" si="228"/>
        <v>100</v>
      </c>
      <c r="K342" s="39"/>
      <c r="L342" s="39">
        <f t="shared" si="229"/>
        <v>100</v>
      </c>
      <c r="M342" s="39"/>
    </row>
    <row r="343" spans="1:13" s="2" customFormat="1" ht="31.2">
      <c r="A343" s="29" t="s">
        <v>125</v>
      </c>
      <c r="B343" s="18">
        <v>992</v>
      </c>
      <c r="C343" s="25" t="s">
        <v>115</v>
      </c>
      <c r="D343" s="47" t="s">
        <v>528</v>
      </c>
      <c r="E343" s="25" t="s">
        <v>126</v>
      </c>
      <c r="F343" s="39">
        <v>50000</v>
      </c>
      <c r="G343" s="39">
        <v>50000</v>
      </c>
      <c r="H343" s="39">
        <v>50000</v>
      </c>
      <c r="I343" s="39">
        <f t="shared" si="227"/>
        <v>0</v>
      </c>
      <c r="J343" s="40">
        <f t="shared" si="228"/>
        <v>100</v>
      </c>
      <c r="K343" s="39"/>
      <c r="L343" s="39">
        <f t="shared" si="229"/>
        <v>100</v>
      </c>
      <c r="M343" s="39"/>
    </row>
    <row r="344" spans="1:13" s="2" customFormat="1" ht="78">
      <c r="A344" s="16" t="s">
        <v>391</v>
      </c>
      <c r="B344" s="18">
        <v>992</v>
      </c>
      <c r="C344" s="25" t="s">
        <v>115</v>
      </c>
      <c r="D344" s="25" t="s">
        <v>175</v>
      </c>
      <c r="E344" s="25" t="s">
        <v>27</v>
      </c>
      <c r="F344" s="26">
        <f t="shared" ref="F344:H345" si="238">F345</f>
        <v>1244978.1599999999</v>
      </c>
      <c r="G344" s="26">
        <f t="shared" si="238"/>
        <v>2032695.07</v>
      </c>
      <c r="H344" s="26">
        <f t="shared" si="238"/>
        <v>2032695.07</v>
      </c>
      <c r="I344" s="26">
        <f t="shared" si="227"/>
        <v>0</v>
      </c>
      <c r="J344" s="27">
        <f t="shared" si="228"/>
        <v>163.27000000000001</v>
      </c>
      <c r="K344" s="26"/>
      <c r="L344" s="26">
        <f t="shared" si="229"/>
        <v>100</v>
      </c>
      <c r="M344" s="26"/>
    </row>
    <row r="345" spans="1:13" s="2" customFormat="1" ht="78">
      <c r="A345" s="16" t="s">
        <v>207</v>
      </c>
      <c r="B345" s="18">
        <v>992</v>
      </c>
      <c r="C345" s="25" t="s">
        <v>115</v>
      </c>
      <c r="D345" s="25" t="s">
        <v>209</v>
      </c>
      <c r="E345" s="25" t="s">
        <v>27</v>
      </c>
      <c r="F345" s="26">
        <f t="shared" si="238"/>
        <v>1244978.1599999999</v>
      </c>
      <c r="G345" s="26">
        <f t="shared" si="238"/>
        <v>2032695.07</v>
      </c>
      <c r="H345" s="26">
        <f t="shared" si="238"/>
        <v>2032695.07</v>
      </c>
      <c r="I345" s="26">
        <f t="shared" si="227"/>
        <v>0</v>
      </c>
      <c r="J345" s="27">
        <f t="shared" si="228"/>
        <v>163.27000000000001</v>
      </c>
      <c r="K345" s="26"/>
      <c r="L345" s="26">
        <f t="shared" si="229"/>
        <v>100</v>
      </c>
      <c r="M345" s="26"/>
    </row>
    <row r="346" spans="1:13" s="2" customFormat="1" ht="109.2">
      <c r="A346" s="16" t="s">
        <v>567</v>
      </c>
      <c r="B346" s="18">
        <v>992</v>
      </c>
      <c r="C346" s="25" t="s">
        <v>115</v>
      </c>
      <c r="D346" s="47" t="s">
        <v>541</v>
      </c>
      <c r="E346" s="25" t="s">
        <v>27</v>
      </c>
      <c r="F346" s="26">
        <f>F347+F348</f>
        <v>1244978.1599999999</v>
      </c>
      <c r="G346" s="26">
        <f t="shared" ref="G346:H346" si="239">G347+G348</f>
        <v>2032695.07</v>
      </c>
      <c r="H346" s="26">
        <f t="shared" si="239"/>
        <v>2032695.07</v>
      </c>
      <c r="I346" s="26">
        <f t="shared" si="227"/>
        <v>0</v>
      </c>
      <c r="J346" s="27">
        <f t="shared" si="228"/>
        <v>163.27000000000001</v>
      </c>
      <c r="K346" s="26"/>
      <c r="L346" s="26">
        <f t="shared" si="229"/>
        <v>100</v>
      </c>
      <c r="M346" s="26"/>
    </row>
    <row r="347" spans="1:13" s="2" customFormat="1" ht="140.4">
      <c r="A347" s="18" t="s">
        <v>127</v>
      </c>
      <c r="B347" s="18">
        <v>992</v>
      </c>
      <c r="C347" s="25" t="s">
        <v>115</v>
      </c>
      <c r="D347" s="47" t="s">
        <v>541</v>
      </c>
      <c r="E347" s="25" t="s">
        <v>128</v>
      </c>
      <c r="F347" s="39">
        <f>972261.15</f>
        <v>972261.15</v>
      </c>
      <c r="G347" s="39">
        <f t="shared" ref="G347:H347" si="240">972261.15+203685.63+60464.82</f>
        <v>1236411.6000000001</v>
      </c>
      <c r="H347" s="39">
        <f t="shared" si="240"/>
        <v>1236411.6000000001</v>
      </c>
      <c r="I347" s="39">
        <f t="shared" si="227"/>
        <v>0</v>
      </c>
      <c r="J347" s="40">
        <f t="shared" si="228"/>
        <v>127.17</v>
      </c>
      <c r="K347" s="15" t="s">
        <v>598</v>
      </c>
      <c r="L347" s="39">
        <f t="shared" si="229"/>
        <v>100</v>
      </c>
      <c r="M347" s="39"/>
    </row>
    <row r="348" spans="1:13" s="2" customFormat="1" ht="140.4">
      <c r="A348" s="29" t="s">
        <v>125</v>
      </c>
      <c r="B348" s="18">
        <v>992</v>
      </c>
      <c r="C348" s="25" t="s">
        <v>115</v>
      </c>
      <c r="D348" s="47" t="s">
        <v>541</v>
      </c>
      <c r="E348" s="25" t="s">
        <v>126</v>
      </c>
      <c r="F348" s="39">
        <f>272717.01</f>
        <v>272717.01</v>
      </c>
      <c r="G348" s="39">
        <f t="shared" ref="G348:H348" si="241">1121184.21-60750.29-264150.45</f>
        <v>796283.47</v>
      </c>
      <c r="H348" s="39">
        <f t="shared" si="241"/>
        <v>796283.47</v>
      </c>
      <c r="I348" s="39">
        <f t="shared" si="227"/>
        <v>0</v>
      </c>
      <c r="J348" s="40">
        <f t="shared" si="228"/>
        <v>291.98</v>
      </c>
      <c r="K348" s="15" t="s">
        <v>598</v>
      </c>
      <c r="L348" s="39">
        <f t="shared" si="229"/>
        <v>100</v>
      </c>
      <c r="M348" s="39"/>
    </row>
    <row r="349" spans="1:13" s="2" customFormat="1" ht="15.6">
      <c r="A349" s="21" t="s">
        <v>44</v>
      </c>
      <c r="B349" s="21">
        <v>992</v>
      </c>
      <c r="C349" s="22" t="s">
        <v>53</v>
      </c>
      <c r="D349" s="22" t="s">
        <v>154</v>
      </c>
      <c r="E349" s="22" t="s">
        <v>27</v>
      </c>
      <c r="F349" s="30">
        <f>F350</f>
        <v>18300299.199999999</v>
      </c>
      <c r="G349" s="30">
        <f t="shared" ref="G349:H351" si="242">G350</f>
        <v>17518906.280000001</v>
      </c>
      <c r="H349" s="30">
        <f t="shared" si="242"/>
        <v>17432728.280000001</v>
      </c>
      <c r="I349" s="30">
        <f t="shared" si="227"/>
        <v>86178</v>
      </c>
      <c r="J349" s="31">
        <f t="shared" si="228"/>
        <v>95.26</v>
      </c>
      <c r="K349" s="30"/>
      <c r="L349" s="30">
        <f t="shared" si="229"/>
        <v>99.51</v>
      </c>
      <c r="M349" s="30"/>
    </row>
    <row r="350" spans="1:13" s="2" customFormat="1" ht="15.6">
      <c r="A350" s="18" t="s">
        <v>205</v>
      </c>
      <c r="B350" s="18">
        <v>992</v>
      </c>
      <c r="C350" s="49" t="s">
        <v>206</v>
      </c>
      <c r="D350" s="49" t="s">
        <v>154</v>
      </c>
      <c r="E350" s="49" t="s">
        <v>27</v>
      </c>
      <c r="F350" s="26">
        <f>F351</f>
        <v>18300299.199999999</v>
      </c>
      <c r="G350" s="26">
        <f t="shared" si="242"/>
        <v>17518906.280000001</v>
      </c>
      <c r="H350" s="26">
        <f t="shared" si="242"/>
        <v>17432728.280000001</v>
      </c>
      <c r="I350" s="26">
        <f t="shared" si="227"/>
        <v>86178</v>
      </c>
      <c r="J350" s="27">
        <f t="shared" si="228"/>
        <v>95.26</v>
      </c>
      <c r="K350" s="26"/>
      <c r="L350" s="26">
        <f t="shared" si="229"/>
        <v>99.51</v>
      </c>
      <c r="M350" s="26"/>
    </row>
    <row r="351" spans="1:13" s="2" customFormat="1" ht="46.8">
      <c r="A351" s="28" t="s">
        <v>392</v>
      </c>
      <c r="B351" s="18">
        <v>992</v>
      </c>
      <c r="C351" s="25" t="s">
        <v>206</v>
      </c>
      <c r="D351" s="25" t="s">
        <v>8</v>
      </c>
      <c r="E351" s="25" t="s">
        <v>27</v>
      </c>
      <c r="F351" s="26">
        <f>F352</f>
        <v>18300299.199999999</v>
      </c>
      <c r="G351" s="26">
        <f t="shared" si="242"/>
        <v>17518906.280000001</v>
      </c>
      <c r="H351" s="26">
        <f t="shared" si="242"/>
        <v>17432728.280000001</v>
      </c>
      <c r="I351" s="26">
        <f t="shared" si="227"/>
        <v>86178</v>
      </c>
      <c r="J351" s="27">
        <f t="shared" si="228"/>
        <v>95.26</v>
      </c>
      <c r="K351" s="26"/>
      <c r="L351" s="26">
        <f t="shared" si="229"/>
        <v>99.51</v>
      </c>
      <c r="M351" s="26"/>
    </row>
    <row r="352" spans="1:13" s="2" customFormat="1" ht="46.8">
      <c r="A352" s="28" t="s">
        <v>393</v>
      </c>
      <c r="B352" s="18">
        <v>992</v>
      </c>
      <c r="C352" s="25" t="s">
        <v>206</v>
      </c>
      <c r="D352" s="25" t="s">
        <v>9</v>
      </c>
      <c r="E352" s="25" t="s">
        <v>27</v>
      </c>
      <c r="F352" s="26">
        <f>F353+F364</f>
        <v>18300299.199999999</v>
      </c>
      <c r="G352" s="26">
        <f t="shared" ref="G352:H352" si="243">G353+G364</f>
        <v>17518906.280000001</v>
      </c>
      <c r="H352" s="26">
        <f t="shared" si="243"/>
        <v>17432728.280000001</v>
      </c>
      <c r="I352" s="26">
        <f t="shared" si="227"/>
        <v>86178</v>
      </c>
      <c r="J352" s="27">
        <f t="shared" si="228"/>
        <v>95.26</v>
      </c>
      <c r="K352" s="26"/>
      <c r="L352" s="26">
        <f t="shared" si="229"/>
        <v>99.51</v>
      </c>
      <c r="M352" s="26"/>
    </row>
    <row r="353" spans="1:13" s="2" customFormat="1" ht="46.8">
      <c r="A353" s="28" t="s">
        <v>573</v>
      </c>
      <c r="B353" s="18">
        <v>992</v>
      </c>
      <c r="C353" s="49" t="s">
        <v>206</v>
      </c>
      <c r="D353" s="25" t="s">
        <v>397</v>
      </c>
      <c r="E353" s="25" t="s">
        <v>27</v>
      </c>
      <c r="F353" s="26">
        <f>F356+F354+F358+F360+F362</f>
        <v>18300299.199999999</v>
      </c>
      <c r="G353" s="26">
        <f t="shared" ref="G353:H353" si="244">G356+G354+G358+G360+G362</f>
        <v>17518906.280000001</v>
      </c>
      <c r="H353" s="26">
        <f t="shared" si="244"/>
        <v>17432728.280000001</v>
      </c>
      <c r="I353" s="26">
        <f t="shared" si="227"/>
        <v>86178</v>
      </c>
      <c r="J353" s="27">
        <f t="shared" si="228"/>
        <v>95.26</v>
      </c>
      <c r="K353" s="26"/>
      <c r="L353" s="26">
        <f t="shared" si="229"/>
        <v>99.51</v>
      </c>
      <c r="M353" s="26"/>
    </row>
    <row r="354" spans="1:13" s="1" customFormat="1" ht="93.6">
      <c r="A354" s="25" t="s">
        <v>117</v>
      </c>
      <c r="B354" s="18">
        <v>992</v>
      </c>
      <c r="C354" s="49" t="s">
        <v>206</v>
      </c>
      <c r="D354" s="49" t="s">
        <v>396</v>
      </c>
      <c r="E354" s="49" t="s">
        <v>27</v>
      </c>
      <c r="F354" s="39">
        <f>F355</f>
        <v>2690000</v>
      </c>
      <c r="G354" s="39">
        <f t="shared" ref="G354:H354" si="245">G355</f>
        <v>2690000</v>
      </c>
      <c r="H354" s="39">
        <f t="shared" si="245"/>
        <v>2666865</v>
      </c>
      <c r="I354" s="39">
        <f t="shared" si="227"/>
        <v>23135</v>
      </c>
      <c r="J354" s="40">
        <f t="shared" si="228"/>
        <v>99.14</v>
      </c>
      <c r="K354" s="39"/>
      <c r="L354" s="39">
        <f t="shared" si="229"/>
        <v>99.14</v>
      </c>
      <c r="M354" s="39"/>
    </row>
    <row r="355" spans="1:13" s="1" customFormat="1" ht="31.2">
      <c r="A355" s="29" t="s">
        <v>125</v>
      </c>
      <c r="B355" s="18">
        <v>992</v>
      </c>
      <c r="C355" s="49" t="s">
        <v>206</v>
      </c>
      <c r="D355" s="49" t="s">
        <v>396</v>
      </c>
      <c r="E355" s="49" t="s">
        <v>126</v>
      </c>
      <c r="F355" s="39">
        <v>2690000</v>
      </c>
      <c r="G355" s="39">
        <v>2690000</v>
      </c>
      <c r="H355" s="39">
        <v>2666865</v>
      </c>
      <c r="I355" s="39">
        <f t="shared" si="227"/>
        <v>23135</v>
      </c>
      <c r="J355" s="40">
        <f t="shared" si="228"/>
        <v>99.14</v>
      </c>
      <c r="K355" s="39"/>
      <c r="L355" s="39">
        <f t="shared" si="229"/>
        <v>99.14</v>
      </c>
      <c r="M355" s="39"/>
    </row>
    <row r="356" spans="1:13" s="1" customFormat="1" ht="46.8">
      <c r="A356" s="25" t="s">
        <v>118</v>
      </c>
      <c r="B356" s="18">
        <v>992</v>
      </c>
      <c r="C356" s="49" t="s">
        <v>206</v>
      </c>
      <c r="D356" s="49" t="s">
        <v>395</v>
      </c>
      <c r="E356" s="49" t="s">
        <v>27</v>
      </c>
      <c r="F356" s="39">
        <f>F357</f>
        <v>1759968</v>
      </c>
      <c r="G356" s="39">
        <f t="shared" ref="G356:H356" si="246">G357</f>
        <v>1759968</v>
      </c>
      <c r="H356" s="39">
        <f t="shared" si="246"/>
        <v>1696925</v>
      </c>
      <c r="I356" s="39">
        <f t="shared" si="227"/>
        <v>63043</v>
      </c>
      <c r="J356" s="40">
        <f t="shared" si="228"/>
        <v>96.42</v>
      </c>
      <c r="K356" s="39"/>
      <c r="L356" s="39">
        <f t="shared" si="229"/>
        <v>96.42</v>
      </c>
      <c r="M356" s="39"/>
    </row>
    <row r="357" spans="1:13" s="1" customFormat="1" ht="31.2">
      <c r="A357" s="18" t="s">
        <v>125</v>
      </c>
      <c r="B357" s="18">
        <v>992</v>
      </c>
      <c r="C357" s="49" t="s">
        <v>206</v>
      </c>
      <c r="D357" s="49" t="s">
        <v>395</v>
      </c>
      <c r="E357" s="49" t="s">
        <v>126</v>
      </c>
      <c r="F357" s="39">
        <v>1759968</v>
      </c>
      <c r="G357" s="39">
        <v>1759968</v>
      </c>
      <c r="H357" s="39">
        <v>1696925</v>
      </c>
      <c r="I357" s="39">
        <f t="shared" si="227"/>
        <v>63043</v>
      </c>
      <c r="J357" s="40">
        <f t="shared" si="228"/>
        <v>96.42</v>
      </c>
      <c r="K357" s="39"/>
      <c r="L357" s="39">
        <f t="shared" si="229"/>
        <v>96.42</v>
      </c>
      <c r="M357" s="39"/>
    </row>
    <row r="358" spans="1:13" s="2" customFormat="1" ht="46.8">
      <c r="A358" s="18" t="s">
        <v>151</v>
      </c>
      <c r="B358" s="18">
        <v>992</v>
      </c>
      <c r="C358" s="49" t="s">
        <v>206</v>
      </c>
      <c r="D358" s="49" t="s">
        <v>398</v>
      </c>
      <c r="E358" s="49" t="s">
        <v>27</v>
      </c>
      <c r="F358" s="39">
        <f>F359</f>
        <v>13494938.279999999</v>
      </c>
      <c r="G358" s="39">
        <f t="shared" ref="G358:H358" si="247">G359</f>
        <v>13068938.279999999</v>
      </c>
      <c r="H358" s="39">
        <f t="shared" si="247"/>
        <v>13068938.279999999</v>
      </c>
      <c r="I358" s="39">
        <f t="shared" si="227"/>
        <v>0</v>
      </c>
      <c r="J358" s="40">
        <f t="shared" si="228"/>
        <v>96.84</v>
      </c>
      <c r="K358" s="39"/>
      <c r="L358" s="39">
        <f t="shared" si="229"/>
        <v>100</v>
      </c>
      <c r="M358" s="39"/>
    </row>
    <row r="359" spans="1:13" s="2" customFormat="1" ht="15.6">
      <c r="A359" s="18" t="s">
        <v>152</v>
      </c>
      <c r="B359" s="18">
        <v>992</v>
      </c>
      <c r="C359" s="49" t="s">
        <v>206</v>
      </c>
      <c r="D359" s="49" t="s">
        <v>398</v>
      </c>
      <c r="E359" s="49" t="s">
        <v>153</v>
      </c>
      <c r="F359" s="39">
        <f>13494938.28</f>
        <v>13494938.279999999</v>
      </c>
      <c r="G359" s="39">
        <f t="shared" ref="G359:H359" si="248">13494938.28-426000</f>
        <v>13068938.279999999</v>
      </c>
      <c r="H359" s="39">
        <f t="shared" si="248"/>
        <v>13068938.279999999</v>
      </c>
      <c r="I359" s="39">
        <f t="shared" si="227"/>
        <v>0</v>
      </c>
      <c r="J359" s="40">
        <f t="shared" si="228"/>
        <v>96.84</v>
      </c>
      <c r="K359" s="39"/>
      <c r="L359" s="39">
        <f t="shared" si="229"/>
        <v>100</v>
      </c>
      <c r="M359" s="39"/>
    </row>
    <row r="360" spans="1:13" s="2" customFormat="1" ht="46.8">
      <c r="A360" s="16" t="s">
        <v>247</v>
      </c>
      <c r="B360" s="18">
        <v>992</v>
      </c>
      <c r="C360" s="49" t="s">
        <v>206</v>
      </c>
      <c r="D360" s="63" t="s">
        <v>394</v>
      </c>
      <c r="E360" s="49" t="s">
        <v>27</v>
      </c>
      <c r="F360" s="26">
        <f>F361</f>
        <v>337623.27</v>
      </c>
      <c r="G360" s="26">
        <f t="shared" ref="G360:H360" si="249">G361</f>
        <v>0</v>
      </c>
      <c r="H360" s="26">
        <f t="shared" si="249"/>
        <v>0</v>
      </c>
      <c r="I360" s="26">
        <f t="shared" si="227"/>
        <v>0</v>
      </c>
      <c r="J360" s="27">
        <f t="shared" si="228"/>
        <v>0</v>
      </c>
      <c r="K360" s="26"/>
      <c r="L360" s="26" t="e">
        <f t="shared" si="229"/>
        <v>#DIV/0!</v>
      </c>
      <c r="M360" s="26"/>
    </row>
    <row r="361" spans="1:13" s="2" customFormat="1" ht="140.4">
      <c r="A361" s="29" t="s">
        <v>125</v>
      </c>
      <c r="B361" s="18">
        <v>992</v>
      </c>
      <c r="C361" s="49" t="s">
        <v>206</v>
      </c>
      <c r="D361" s="63" t="s">
        <v>394</v>
      </c>
      <c r="E361" s="49" t="s">
        <v>126</v>
      </c>
      <c r="F361" s="55">
        <f>337623.27</f>
        <v>337623.27</v>
      </c>
      <c r="G361" s="55">
        <f t="shared" ref="G361:H361" si="250">337623.27-337623.27</f>
        <v>0</v>
      </c>
      <c r="H361" s="55">
        <f t="shared" si="250"/>
        <v>0</v>
      </c>
      <c r="I361" s="55">
        <f t="shared" si="227"/>
        <v>0</v>
      </c>
      <c r="J361" s="56">
        <f t="shared" si="228"/>
        <v>0</v>
      </c>
      <c r="K361" s="15" t="s">
        <v>598</v>
      </c>
      <c r="L361" s="15" t="e">
        <f t="shared" si="229"/>
        <v>#DIV/0!</v>
      </c>
      <c r="M361" s="15" t="s">
        <v>598</v>
      </c>
    </row>
    <row r="362" spans="1:13" s="2" customFormat="1" ht="46.8">
      <c r="A362" s="16" t="s">
        <v>261</v>
      </c>
      <c r="B362" s="18">
        <v>992</v>
      </c>
      <c r="C362" s="49" t="s">
        <v>206</v>
      </c>
      <c r="D362" s="63" t="s">
        <v>394</v>
      </c>
      <c r="E362" s="49" t="s">
        <v>27</v>
      </c>
      <c r="F362" s="26">
        <f>F363</f>
        <v>17769.650000000001</v>
      </c>
      <c r="G362" s="26">
        <f t="shared" ref="G362:H362" si="251">G363</f>
        <v>0</v>
      </c>
      <c r="H362" s="26">
        <f t="shared" si="251"/>
        <v>0</v>
      </c>
      <c r="I362" s="26">
        <f t="shared" si="227"/>
        <v>0</v>
      </c>
      <c r="J362" s="27">
        <f t="shared" si="228"/>
        <v>0</v>
      </c>
      <c r="K362" s="26"/>
      <c r="L362" s="26" t="e">
        <f t="shared" si="229"/>
        <v>#DIV/0!</v>
      </c>
      <c r="M362" s="26"/>
    </row>
    <row r="363" spans="1:13" s="2" customFormat="1" ht="140.4">
      <c r="A363" s="29" t="s">
        <v>125</v>
      </c>
      <c r="B363" s="18">
        <v>992</v>
      </c>
      <c r="C363" s="49" t="s">
        <v>206</v>
      </c>
      <c r="D363" s="63" t="s">
        <v>394</v>
      </c>
      <c r="E363" s="49" t="s">
        <v>126</v>
      </c>
      <c r="F363" s="26">
        <f>17769.65</f>
        <v>17769.650000000001</v>
      </c>
      <c r="G363" s="26">
        <f t="shared" ref="G363:H363" si="252">17769.65-17769.65</f>
        <v>0</v>
      </c>
      <c r="H363" s="26">
        <f t="shared" si="252"/>
        <v>0</v>
      </c>
      <c r="I363" s="26">
        <f t="shared" si="227"/>
        <v>0</v>
      </c>
      <c r="J363" s="27">
        <f t="shared" si="228"/>
        <v>0</v>
      </c>
      <c r="K363" s="38" t="s">
        <v>598</v>
      </c>
      <c r="L363" s="26" t="e">
        <f t="shared" si="229"/>
        <v>#DIV/0!</v>
      </c>
      <c r="M363" s="38" t="s">
        <v>598</v>
      </c>
    </row>
    <row r="364" spans="1:13" s="2" customFormat="1" ht="15.6">
      <c r="A364" s="28" t="s">
        <v>572</v>
      </c>
      <c r="B364" s="18">
        <v>992</v>
      </c>
      <c r="C364" s="49" t="s">
        <v>206</v>
      </c>
      <c r="D364" s="25" t="s">
        <v>571</v>
      </c>
      <c r="E364" s="25" t="s">
        <v>27</v>
      </c>
      <c r="F364" s="26">
        <f>F365</f>
        <v>0</v>
      </c>
      <c r="G364" s="26">
        <f t="shared" ref="G364:H365" si="253">G365</f>
        <v>0</v>
      </c>
      <c r="H364" s="26">
        <f t="shared" si="253"/>
        <v>0</v>
      </c>
      <c r="I364" s="26">
        <f t="shared" si="227"/>
        <v>0</v>
      </c>
      <c r="J364" s="27" t="e">
        <f t="shared" si="228"/>
        <v>#DIV/0!</v>
      </c>
      <c r="K364" s="26"/>
      <c r="L364" s="26" t="e">
        <f t="shared" si="229"/>
        <v>#DIV/0!</v>
      </c>
      <c r="M364" s="26"/>
    </row>
    <row r="365" spans="1:13" s="1" customFormat="1" ht="93.6">
      <c r="A365" s="25" t="s">
        <v>574</v>
      </c>
      <c r="B365" s="18">
        <v>992</v>
      </c>
      <c r="C365" s="49" t="s">
        <v>206</v>
      </c>
      <c r="D365" s="25" t="s">
        <v>570</v>
      </c>
      <c r="E365" s="49" t="s">
        <v>27</v>
      </c>
      <c r="F365" s="39">
        <f>F366</f>
        <v>0</v>
      </c>
      <c r="G365" s="39">
        <f t="shared" si="253"/>
        <v>0</v>
      </c>
      <c r="H365" s="39">
        <f t="shared" si="253"/>
        <v>0</v>
      </c>
      <c r="I365" s="39">
        <f t="shared" si="227"/>
        <v>0</v>
      </c>
      <c r="J365" s="40" t="e">
        <f t="shared" si="228"/>
        <v>#DIV/0!</v>
      </c>
      <c r="K365" s="39"/>
      <c r="L365" s="39" t="e">
        <f t="shared" si="229"/>
        <v>#DIV/0!</v>
      </c>
      <c r="M365" s="39"/>
    </row>
    <row r="366" spans="1:13" s="1" customFormat="1" ht="140.4">
      <c r="A366" s="29" t="s">
        <v>132</v>
      </c>
      <c r="B366" s="18">
        <v>992</v>
      </c>
      <c r="C366" s="49" t="s">
        <v>206</v>
      </c>
      <c r="D366" s="25" t="s">
        <v>570</v>
      </c>
      <c r="E366" s="49" t="s">
        <v>133</v>
      </c>
      <c r="F366" s="39">
        <v>0</v>
      </c>
      <c r="G366" s="39">
        <v>0</v>
      </c>
      <c r="H366" s="39">
        <v>0</v>
      </c>
      <c r="I366" s="39">
        <f t="shared" si="227"/>
        <v>0</v>
      </c>
      <c r="J366" s="40" t="e">
        <f t="shared" si="228"/>
        <v>#DIV/0!</v>
      </c>
      <c r="K366" s="15" t="s">
        <v>598</v>
      </c>
      <c r="L366" s="39" t="e">
        <f t="shared" si="229"/>
        <v>#DIV/0!</v>
      </c>
      <c r="M366" s="15" t="s">
        <v>598</v>
      </c>
    </row>
    <row r="367" spans="1:13" s="1" customFormat="1" ht="15.6">
      <c r="A367" s="21" t="s">
        <v>79</v>
      </c>
      <c r="B367" s="21">
        <v>992</v>
      </c>
      <c r="C367" s="22" t="s">
        <v>80</v>
      </c>
      <c r="D367" s="21" t="s">
        <v>154</v>
      </c>
      <c r="E367" s="22" t="s">
        <v>27</v>
      </c>
      <c r="F367" s="57">
        <f>F368</f>
        <v>4700000</v>
      </c>
      <c r="G367" s="57">
        <f t="shared" ref="G367:H369" si="254">G368</f>
        <v>7525191.1100000003</v>
      </c>
      <c r="H367" s="57">
        <f t="shared" si="254"/>
        <v>7525191.1100000003</v>
      </c>
      <c r="I367" s="57">
        <f t="shared" si="227"/>
        <v>0</v>
      </c>
      <c r="J367" s="58">
        <f t="shared" si="228"/>
        <v>160.11000000000001</v>
      </c>
      <c r="K367" s="57"/>
      <c r="L367" s="57">
        <f t="shared" si="229"/>
        <v>100</v>
      </c>
      <c r="M367" s="57"/>
    </row>
    <row r="368" spans="1:13" s="1" customFormat="1" ht="15.6">
      <c r="A368" s="18" t="s">
        <v>81</v>
      </c>
      <c r="B368" s="18">
        <v>992</v>
      </c>
      <c r="C368" s="25" t="s">
        <v>82</v>
      </c>
      <c r="D368" s="18" t="s">
        <v>154</v>
      </c>
      <c r="E368" s="25" t="s">
        <v>27</v>
      </c>
      <c r="F368" s="39">
        <f>F369</f>
        <v>4700000</v>
      </c>
      <c r="G368" s="39">
        <f t="shared" si="254"/>
        <v>7525191.1100000003</v>
      </c>
      <c r="H368" s="39">
        <f t="shared" si="254"/>
        <v>7525191.1100000003</v>
      </c>
      <c r="I368" s="39">
        <f t="shared" si="227"/>
        <v>0</v>
      </c>
      <c r="J368" s="40">
        <f t="shared" si="228"/>
        <v>160.11000000000001</v>
      </c>
      <c r="K368" s="39"/>
      <c r="L368" s="39">
        <f t="shared" si="229"/>
        <v>100</v>
      </c>
      <c r="M368" s="39"/>
    </row>
    <row r="369" spans="1:13" s="1" customFormat="1" ht="46.8">
      <c r="A369" s="28" t="s">
        <v>399</v>
      </c>
      <c r="B369" s="18">
        <v>992</v>
      </c>
      <c r="C369" s="25" t="s">
        <v>82</v>
      </c>
      <c r="D369" s="18" t="s">
        <v>161</v>
      </c>
      <c r="E369" s="25" t="s">
        <v>27</v>
      </c>
      <c r="F369" s="39">
        <f>F370</f>
        <v>4700000</v>
      </c>
      <c r="G369" s="39">
        <f t="shared" si="254"/>
        <v>7525191.1100000003</v>
      </c>
      <c r="H369" s="39">
        <f t="shared" si="254"/>
        <v>7525191.1100000003</v>
      </c>
      <c r="I369" s="39">
        <f t="shared" si="227"/>
        <v>0</v>
      </c>
      <c r="J369" s="40">
        <f t="shared" si="228"/>
        <v>160.11000000000001</v>
      </c>
      <c r="K369" s="39"/>
      <c r="L369" s="39">
        <f t="shared" si="229"/>
        <v>100</v>
      </c>
      <c r="M369" s="39"/>
    </row>
    <row r="370" spans="1:13" s="1" customFormat="1" ht="15.6">
      <c r="A370" s="45" t="s">
        <v>400</v>
      </c>
      <c r="B370" s="18">
        <v>992</v>
      </c>
      <c r="C370" s="25" t="s">
        <v>82</v>
      </c>
      <c r="D370" s="18" t="s">
        <v>163</v>
      </c>
      <c r="E370" s="25" t="s">
        <v>27</v>
      </c>
      <c r="F370" s="39">
        <f>F372</f>
        <v>4700000</v>
      </c>
      <c r="G370" s="39">
        <f t="shared" ref="G370:H370" si="255">G372</f>
        <v>7525191.1100000003</v>
      </c>
      <c r="H370" s="39">
        <f t="shared" si="255"/>
        <v>7525191.1100000003</v>
      </c>
      <c r="I370" s="39">
        <f t="shared" si="227"/>
        <v>0</v>
      </c>
      <c r="J370" s="40">
        <f t="shared" si="228"/>
        <v>160.11000000000001</v>
      </c>
      <c r="K370" s="39"/>
      <c r="L370" s="39">
        <f t="shared" si="229"/>
        <v>100</v>
      </c>
      <c r="M370" s="39"/>
    </row>
    <row r="371" spans="1:13" s="1" customFormat="1" ht="31.2">
      <c r="A371" s="45" t="s">
        <v>402</v>
      </c>
      <c r="B371" s="18">
        <v>992</v>
      </c>
      <c r="C371" s="25" t="s">
        <v>82</v>
      </c>
      <c r="D371" s="18" t="s">
        <v>401</v>
      </c>
      <c r="E371" s="25" t="s">
        <v>27</v>
      </c>
      <c r="F371" s="39">
        <f>F373</f>
        <v>4700000</v>
      </c>
      <c r="G371" s="39">
        <f t="shared" ref="G371:H371" si="256">G373</f>
        <v>7525191.1100000003</v>
      </c>
      <c r="H371" s="39">
        <f t="shared" si="256"/>
        <v>7525191.1100000003</v>
      </c>
      <c r="I371" s="39">
        <f t="shared" si="227"/>
        <v>0</v>
      </c>
      <c r="J371" s="40">
        <f t="shared" si="228"/>
        <v>160.11000000000001</v>
      </c>
      <c r="K371" s="39"/>
      <c r="L371" s="39">
        <f t="shared" si="229"/>
        <v>100</v>
      </c>
      <c r="M371" s="39"/>
    </row>
    <row r="372" spans="1:13" s="1" customFormat="1" ht="46.8">
      <c r="A372" s="18" t="s">
        <v>403</v>
      </c>
      <c r="B372" s="18">
        <v>992</v>
      </c>
      <c r="C372" s="25" t="s">
        <v>82</v>
      </c>
      <c r="D372" s="18" t="s">
        <v>404</v>
      </c>
      <c r="E372" s="25" t="s">
        <v>27</v>
      </c>
      <c r="F372" s="39">
        <f>F373</f>
        <v>4700000</v>
      </c>
      <c r="G372" s="39">
        <f t="shared" ref="G372:H372" si="257">G373</f>
        <v>7525191.1100000003</v>
      </c>
      <c r="H372" s="39">
        <f t="shared" si="257"/>
        <v>7525191.1100000003</v>
      </c>
      <c r="I372" s="39">
        <f t="shared" si="227"/>
        <v>0</v>
      </c>
      <c r="J372" s="40">
        <f t="shared" si="228"/>
        <v>160.11000000000001</v>
      </c>
      <c r="K372" s="39"/>
      <c r="L372" s="39">
        <f t="shared" si="229"/>
        <v>100</v>
      </c>
      <c r="M372" s="39"/>
    </row>
    <row r="373" spans="1:13" s="2" customFormat="1" ht="15.6">
      <c r="A373" s="18" t="s">
        <v>138</v>
      </c>
      <c r="B373" s="18">
        <v>992</v>
      </c>
      <c r="C373" s="25" t="s">
        <v>82</v>
      </c>
      <c r="D373" s="18" t="s">
        <v>404</v>
      </c>
      <c r="E373" s="25" t="s">
        <v>139</v>
      </c>
      <c r="F373" s="39">
        <f>4700000</f>
        <v>4700000</v>
      </c>
      <c r="G373" s="39">
        <f t="shared" ref="G373:H373" si="258">4700000+850573.36+1974617.75</f>
        <v>7525191.1100000003</v>
      </c>
      <c r="H373" s="39">
        <f t="shared" si="258"/>
        <v>7525191.1100000003</v>
      </c>
      <c r="I373" s="39">
        <f t="shared" si="227"/>
        <v>0</v>
      </c>
      <c r="J373" s="40">
        <f t="shared" si="228"/>
        <v>160.11000000000001</v>
      </c>
      <c r="K373" s="39"/>
      <c r="L373" s="39">
        <f t="shared" si="229"/>
        <v>100</v>
      </c>
      <c r="M373" s="39"/>
    </row>
    <row r="374" spans="1:13" s="2" customFormat="1" ht="31.2">
      <c r="A374" s="21" t="s">
        <v>30</v>
      </c>
      <c r="B374" s="21">
        <v>992</v>
      </c>
      <c r="C374" s="75" t="s">
        <v>72</v>
      </c>
      <c r="D374" s="75" t="s">
        <v>154</v>
      </c>
      <c r="E374" s="75" t="s">
        <v>27</v>
      </c>
      <c r="F374" s="57">
        <f t="shared" ref="F374:H379" si="259">F375</f>
        <v>72000</v>
      </c>
      <c r="G374" s="57">
        <f t="shared" si="259"/>
        <v>17393.93</v>
      </c>
      <c r="H374" s="57">
        <f t="shared" si="259"/>
        <v>17393.93</v>
      </c>
      <c r="I374" s="57">
        <f t="shared" si="227"/>
        <v>0</v>
      </c>
      <c r="J374" s="58">
        <f t="shared" si="228"/>
        <v>24.16</v>
      </c>
      <c r="K374" s="57"/>
      <c r="L374" s="57">
        <f t="shared" si="229"/>
        <v>100</v>
      </c>
      <c r="M374" s="57"/>
    </row>
    <row r="375" spans="1:13" s="1" customFormat="1" ht="31.2">
      <c r="A375" s="18" t="s">
        <v>73</v>
      </c>
      <c r="B375" s="18">
        <v>992</v>
      </c>
      <c r="C375" s="25" t="s">
        <v>405</v>
      </c>
      <c r="D375" s="18" t="s">
        <v>154</v>
      </c>
      <c r="E375" s="25" t="s">
        <v>27</v>
      </c>
      <c r="F375" s="39">
        <f t="shared" si="259"/>
        <v>72000</v>
      </c>
      <c r="G375" s="39">
        <f t="shared" si="259"/>
        <v>17393.93</v>
      </c>
      <c r="H375" s="39">
        <f t="shared" si="259"/>
        <v>17393.93</v>
      </c>
      <c r="I375" s="39">
        <f t="shared" si="227"/>
        <v>0</v>
      </c>
      <c r="J375" s="40">
        <f t="shared" si="228"/>
        <v>24.16</v>
      </c>
      <c r="K375" s="39"/>
      <c r="L375" s="39">
        <f t="shared" si="229"/>
        <v>100</v>
      </c>
      <c r="M375" s="39"/>
    </row>
    <row r="376" spans="1:13" s="2" customFormat="1" ht="46.8">
      <c r="A376" s="25" t="s">
        <v>358</v>
      </c>
      <c r="B376" s="18">
        <v>992</v>
      </c>
      <c r="C376" s="25" t="s">
        <v>405</v>
      </c>
      <c r="D376" s="18" t="s">
        <v>155</v>
      </c>
      <c r="E376" s="25" t="s">
        <v>27</v>
      </c>
      <c r="F376" s="26">
        <f t="shared" si="259"/>
        <v>72000</v>
      </c>
      <c r="G376" s="26">
        <f t="shared" si="259"/>
        <v>17393.93</v>
      </c>
      <c r="H376" s="26">
        <f t="shared" si="259"/>
        <v>17393.93</v>
      </c>
      <c r="I376" s="26">
        <f t="shared" si="227"/>
        <v>0</v>
      </c>
      <c r="J376" s="27">
        <f t="shared" si="228"/>
        <v>24.16</v>
      </c>
      <c r="K376" s="26"/>
      <c r="L376" s="26">
        <f t="shared" si="229"/>
        <v>100</v>
      </c>
      <c r="M376" s="26"/>
    </row>
    <row r="377" spans="1:13" s="1" customFormat="1" ht="31.2">
      <c r="A377" s="18" t="s">
        <v>356</v>
      </c>
      <c r="B377" s="18">
        <v>992</v>
      </c>
      <c r="C377" s="25" t="s">
        <v>405</v>
      </c>
      <c r="D377" s="18" t="s">
        <v>284</v>
      </c>
      <c r="E377" s="25" t="s">
        <v>27</v>
      </c>
      <c r="F377" s="26">
        <f t="shared" si="259"/>
        <v>72000</v>
      </c>
      <c r="G377" s="26">
        <f t="shared" si="259"/>
        <v>17393.93</v>
      </c>
      <c r="H377" s="26">
        <f t="shared" si="259"/>
        <v>17393.93</v>
      </c>
      <c r="I377" s="26">
        <f t="shared" si="227"/>
        <v>0</v>
      </c>
      <c r="J377" s="27">
        <f t="shared" si="228"/>
        <v>24.16</v>
      </c>
      <c r="K377" s="26"/>
      <c r="L377" s="26">
        <f t="shared" si="229"/>
        <v>100</v>
      </c>
      <c r="M377" s="26"/>
    </row>
    <row r="378" spans="1:13" s="1" customFormat="1" ht="15.6">
      <c r="A378" s="18" t="s">
        <v>357</v>
      </c>
      <c r="B378" s="18">
        <v>992</v>
      </c>
      <c r="C378" s="25" t="s">
        <v>405</v>
      </c>
      <c r="D378" s="18" t="s">
        <v>281</v>
      </c>
      <c r="E378" s="25" t="s">
        <v>27</v>
      </c>
      <c r="F378" s="26">
        <f t="shared" si="259"/>
        <v>72000</v>
      </c>
      <c r="G378" s="26">
        <f t="shared" si="259"/>
        <v>17393.93</v>
      </c>
      <c r="H378" s="26">
        <f t="shared" si="259"/>
        <v>17393.93</v>
      </c>
      <c r="I378" s="26">
        <f t="shared" si="227"/>
        <v>0</v>
      </c>
      <c r="J378" s="27">
        <f t="shared" si="228"/>
        <v>24.16</v>
      </c>
      <c r="K378" s="26"/>
      <c r="L378" s="26">
        <f t="shared" si="229"/>
        <v>100</v>
      </c>
      <c r="M378" s="26"/>
    </row>
    <row r="379" spans="1:13" s="1" customFormat="1" ht="15.6">
      <c r="A379" s="18" t="s">
        <v>41</v>
      </c>
      <c r="B379" s="18">
        <v>992</v>
      </c>
      <c r="C379" s="25" t="s">
        <v>405</v>
      </c>
      <c r="D379" s="18" t="s">
        <v>406</v>
      </c>
      <c r="E379" s="25" t="s">
        <v>27</v>
      </c>
      <c r="F379" s="39">
        <f t="shared" si="259"/>
        <v>72000</v>
      </c>
      <c r="G379" s="39">
        <f t="shared" si="259"/>
        <v>17393.93</v>
      </c>
      <c r="H379" s="39">
        <f t="shared" si="259"/>
        <v>17393.93</v>
      </c>
      <c r="I379" s="39">
        <f t="shared" si="227"/>
        <v>0</v>
      </c>
      <c r="J379" s="40">
        <f t="shared" si="228"/>
        <v>24.16</v>
      </c>
      <c r="K379" s="39"/>
      <c r="L379" s="39">
        <f t="shared" si="229"/>
        <v>100</v>
      </c>
      <c r="M379" s="39"/>
    </row>
    <row r="380" spans="1:13" s="1" customFormat="1" ht="15.6">
      <c r="A380" s="18" t="s">
        <v>121</v>
      </c>
      <c r="B380" s="18">
        <v>992</v>
      </c>
      <c r="C380" s="25" t="s">
        <v>405</v>
      </c>
      <c r="D380" s="18" t="s">
        <v>406</v>
      </c>
      <c r="E380" s="25" t="s">
        <v>122</v>
      </c>
      <c r="F380" s="39">
        <f>72000</f>
        <v>72000</v>
      </c>
      <c r="G380" s="39">
        <f t="shared" ref="G380:H380" si="260">72000-54606.07</f>
        <v>17393.93</v>
      </c>
      <c r="H380" s="39">
        <f t="shared" si="260"/>
        <v>17393.93</v>
      </c>
      <c r="I380" s="39">
        <f t="shared" si="227"/>
        <v>0</v>
      </c>
      <c r="J380" s="40">
        <f t="shared" si="228"/>
        <v>24.16</v>
      </c>
      <c r="K380" s="39"/>
      <c r="L380" s="39">
        <f t="shared" si="229"/>
        <v>100</v>
      </c>
      <c r="M380" s="39"/>
    </row>
    <row r="381" spans="1:13" s="1" customFormat="1" ht="46.8">
      <c r="A381" s="21" t="s">
        <v>564</v>
      </c>
      <c r="B381" s="21">
        <v>994</v>
      </c>
      <c r="C381" s="76" t="s">
        <v>28</v>
      </c>
      <c r="D381" s="76" t="s">
        <v>154</v>
      </c>
      <c r="E381" s="76" t="s">
        <v>27</v>
      </c>
      <c r="F381" s="30">
        <f>F382</f>
        <v>88275862.560000002</v>
      </c>
      <c r="G381" s="30">
        <f t="shared" ref="G381:H381" si="261">G382</f>
        <v>110127697.64</v>
      </c>
      <c r="H381" s="30">
        <f t="shared" si="261"/>
        <v>109733987.08</v>
      </c>
      <c r="I381" s="30">
        <f t="shared" si="227"/>
        <v>393710.56</v>
      </c>
      <c r="J381" s="31">
        <f t="shared" si="228"/>
        <v>124.31</v>
      </c>
      <c r="K381" s="30"/>
      <c r="L381" s="30">
        <f t="shared" si="229"/>
        <v>99.64</v>
      </c>
      <c r="M381" s="30"/>
    </row>
    <row r="382" spans="1:13" s="1" customFormat="1" ht="15.6">
      <c r="A382" s="21" t="s">
        <v>74</v>
      </c>
      <c r="B382" s="21">
        <v>994</v>
      </c>
      <c r="C382" s="76" t="s">
        <v>52</v>
      </c>
      <c r="D382" s="76" t="s">
        <v>154</v>
      </c>
      <c r="E382" s="76" t="s">
        <v>27</v>
      </c>
      <c r="F382" s="30">
        <f>F383+F421</f>
        <v>88275862.560000002</v>
      </c>
      <c r="G382" s="30">
        <f t="shared" ref="G382:H382" si="262">G383+G421</f>
        <v>110127697.64</v>
      </c>
      <c r="H382" s="30">
        <f t="shared" si="262"/>
        <v>109733987.08</v>
      </c>
      <c r="I382" s="30">
        <f t="shared" si="227"/>
        <v>393710.56</v>
      </c>
      <c r="J382" s="31">
        <f t="shared" si="228"/>
        <v>124.31</v>
      </c>
      <c r="K382" s="30"/>
      <c r="L382" s="30">
        <f t="shared" si="229"/>
        <v>99.64</v>
      </c>
      <c r="M382" s="30"/>
    </row>
    <row r="383" spans="1:13" s="2" customFormat="1" ht="15.6">
      <c r="A383" s="25" t="s">
        <v>42</v>
      </c>
      <c r="B383" s="25" t="s">
        <v>55</v>
      </c>
      <c r="C383" s="48" t="s">
        <v>40</v>
      </c>
      <c r="D383" s="48" t="s">
        <v>154</v>
      </c>
      <c r="E383" s="48" t="s">
        <v>27</v>
      </c>
      <c r="F383" s="26">
        <f t="shared" ref="F383:H383" si="263">F384</f>
        <v>73263825.549999997</v>
      </c>
      <c r="G383" s="26">
        <f t="shared" si="263"/>
        <v>92845605.379999995</v>
      </c>
      <c r="H383" s="26">
        <f t="shared" si="263"/>
        <v>92492194.700000003</v>
      </c>
      <c r="I383" s="26">
        <f t="shared" si="227"/>
        <v>353410.68</v>
      </c>
      <c r="J383" s="27">
        <f t="shared" si="228"/>
        <v>126.25</v>
      </c>
      <c r="K383" s="26"/>
      <c r="L383" s="26">
        <f t="shared" si="229"/>
        <v>99.62</v>
      </c>
      <c r="M383" s="26"/>
    </row>
    <row r="384" spans="1:13" s="2" customFormat="1" ht="46.8">
      <c r="A384" s="16" t="s">
        <v>342</v>
      </c>
      <c r="B384" s="25" t="s">
        <v>55</v>
      </c>
      <c r="C384" s="48" t="s">
        <v>40</v>
      </c>
      <c r="D384" s="48" t="s">
        <v>10</v>
      </c>
      <c r="E384" s="48" t="s">
        <v>27</v>
      </c>
      <c r="F384" s="26">
        <f>F385+F394+F402</f>
        <v>73263825.549999997</v>
      </c>
      <c r="G384" s="26">
        <f t="shared" ref="G384:H384" si="264">G385+G394+G402</f>
        <v>92845605.379999995</v>
      </c>
      <c r="H384" s="26">
        <f t="shared" si="264"/>
        <v>92492194.700000003</v>
      </c>
      <c r="I384" s="26">
        <f t="shared" si="227"/>
        <v>353410.68</v>
      </c>
      <c r="J384" s="27">
        <f t="shared" si="228"/>
        <v>126.25</v>
      </c>
      <c r="K384" s="26"/>
      <c r="L384" s="26">
        <f t="shared" si="229"/>
        <v>99.62</v>
      </c>
      <c r="M384" s="26"/>
    </row>
    <row r="385" spans="1:13" s="2" customFormat="1" ht="46.8">
      <c r="A385" s="16" t="s">
        <v>343</v>
      </c>
      <c r="B385" s="25" t="s">
        <v>55</v>
      </c>
      <c r="C385" s="25" t="s">
        <v>40</v>
      </c>
      <c r="D385" s="25" t="s">
        <v>11</v>
      </c>
      <c r="E385" s="25" t="s">
        <v>27</v>
      </c>
      <c r="F385" s="26">
        <f>F387+F392</f>
        <v>56738838.18</v>
      </c>
      <c r="G385" s="26">
        <f t="shared" ref="G385:H385" si="265">G387+G392</f>
        <v>57802374.810000002</v>
      </c>
      <c r="H385" s="26">
        <f t="shared" si="265"/>
        <v>57551770.560000002</v>
      </c>
      <c r="I385" s="26">
        <f t="shared" si="227"/>
        <v>250604.25</v>
      </c>
      <c r="J385" s="27">
        <f t="shared" si="228"/>
        <v>101.43</v>
      </c>
      <c r="K385" s="26"/>
      <c r="L385" s="26">
        <f t="shared" si="229"/>
        <v>99.57</v>
      </c>
      <c r="M385" s="26"/>
    </row>
    <row r="386" spans="1:13" s="2" customFormat="1" ht="62.4">
      <c r="A386" s="16" t="s">
        <v>495</v>
      </c>
      <c r="B386" s="25" t="s">
        <v>55</v>
      </c>
      <c r="C386" s="25" t="s">
        <v>40</v>
      </c>
      <c r="D386" s="25" t="s">
        <v>344</v>
      </c>
      <c r="E386" s="25" t="s">
        <v>27</v>
      </c>
      <c r="F386" s="26">
        <f>F388+F393</f>
        <v>44856900</v>
      </c>
      <c r="G386" s="26">
        <f t="shared" ref="G386:H386" si="266">G388+G393</f>
        <v>43929430.270000003</v>
      </c>
      <c r="H386" s="26">
        <f t="shared" si="266"/>
        <v>43929430.270000003</v>
      </c>
      <c r="I386" s="26">
        <f t="shared" si="227"/>
        <v>0</v>
      </c>
      <c r="J386" s="27">
        <f t="shared" si="228"/>
        <v>97.93</v>
      </c>
      <c r="K386" s="26"/>
      <c r="L386" s="26">
        <f t="shared" si="229"/>
        <v>100</v>
      </c>
      <c r="M386" s="26"/>
    </row>
    <row r="387" spans="1:13" s="2" customFormat="1" ht="46.8">
      <c r="A387" s="18" t="s">
        <v>119</v>
      </c>
      <c r="B387" s="25" t="s">
        <v>55</v>
      </c>
      <c r="C387" s="25" t="s">
        <v>40</v>
      </c>
      <c r="D387" s="25" t="s">
        <v>12</v>
      </c>
      <c r="E387" s="25" t="s">
        <v>27</v>
      </c>
      <c r="F387" s="26">
        <f>F388+F389+F390+F391</f>
        <v>56338838.18</v>
      </c>
      <c r="G387" s="26">
        <f t="shared" ref="G387:H387" si="267">G388+G389+G390+G391</f>
        <v>56252205.810000002</v>
      </c>
      <c r="H387" s="26">
        <f t="shared" si="267"/>
        <v>56001601.560000002</v>
      </c>
      <c r="I387" s="26">
        <f t="shared" si="227"/>
        <v>250604.25</v>
      </c>
      <c r="J387" s="27">
        <f t="shared" si="228"/>
        <v>99.4</v>
      </c>
      <c r="K387" s="26"/>
      <c r="L387" s="26">
        <f t="shared" si="229"/>
        <v>99.55</v>
      </c>
      <c r="M387" s="26"/>
    </row>
    <row r="388" spans="1:13" s="2" customFormat="1" ht="15.6">
      <c r="A388" s="29" t="s">
        <v>140</v>
      </c>
      <c r="B388" s="25" t="s">
        <v>55</v>
      </c>
      <c r="C388" s="25" t="s">
        <v>40</v>
      </c>
      <c r="D388" s="25" t="s">
        <v>12</v>
      </c>
      <c r="E388" s="25" t="s">
        <v>141</v>
      </c>
      <c r="F388" s="39">
        <f>44456900</f>
        <v>44456900</v>
      </c>
      <c r="G388" s="39">
        <f t="shared" ref="G388:H388" si="268">44456900-800000-130000-620000-1100000+572361.27</f>
        <v>42379261.270000003</v>
      </c>
      <c r="H388" s="39">
        <f t="shared" si="268"/>
        <v>42379261.270000003</v>
      </c>
      <c r="I388" s="39">
        <f t="shared" si="227"/>
        <v>0</v>
      </c>
      <c r="J388" s="40">
        <f t="shared" si="228"/>
        <v>95.33</v>
      </c>
      <c r="K388" s="39"/>
      <c r="L388" s="39">
        <f t="shared" si="229"/>
        <v>100</v>
      </c>
      <c r="M388" s="39"/>
    </row>
    <row r="389" spans="1:13" s="2" customFormat="1" ht="31.2">
      <c r="A389" s="29" t="s">
        <v>125</v>
      </c>
      <c r="B389" s="25" t="s">
        <v>55</v>
      </c>
      <c r="C389" s="25" t="s">
        <v>40</v>
      </c>
      <c r="D389" s="25" t="s">
        <v>12</v>
      </c>
      <c r="E389" s="25" t="s">
        <v>126</v>
      </c>
      <c r="F389" s="39">
        <f>10061938.18</f>
        <v>10061938.18</v>
      </c>
      <c r="G389" s="39">
        <f t="shared" ref="G389" si="269">10061938.18+1727500-1549145.66+833502.56+500000+1359000-554132.39+1180000+291519.58-833502.56-900000</f>
        <v>12116679.710000001</v>
      </c>
      <c r="H389" s="39">
        <v>11872255.689999999</v>
      </c>
      <c r="I389" s="39">
        <f t="shared" si="227"/>
        <v>244424.02</v>
      </c>
      <c r="J389" s="40">
        <f t="shared" si="228"/>
        <v>117.99</v>
      </c>
      <c r="K389" s="39"/>
      <c r="L389" s="39">
        <f t="shared" si="229"/>
        <v>97.98</v>
      </c>
      <c r="M389" s="39"/>
    </row>
    <row r="390" spans="1:13" s="2" customFormat="1" ht="15.6">
      <c r="A390" s="18" t="s">
        <v>194</v>
      </c>
      <c r="B390" s="25" t="s">
        <v>55</v>
      </c>
      <c r="C390" s="25" t="s">
        <v>40</v>
      </c>
      <c r="D390" s="25" t="s">
        <v>12</v>
      </c>
      <c r="E390" s="25" t="s">
        <v>195</v>
      </c>
      <c r="F390" s="39">
        <f>60000</f>
        <v>60000</v>
      </c>
      <c r="G390" s="39">
        <f t="shared" ref="G390:H390" si="270">60000-60000</f>
        <v>0</v>
      </c>
      <c r="H390" s="39">
        <f t="shared" si="270"/>
        <v>0</v>
      </c>
      <c r="I390" s="39">
        <f t="shared" si="227"/>
        <v>0</v>
      </c>
      <c r="J390" s="40">
        <f t="shared" si="228"/>
        <v>0</v>
      </c>
      <c r="K390" s="39"/>
      <c r="L390" s="39" t="e">
        <f t="shared" si="229"/>
        <v>#DIV/0!</v>
      </c>
      <c r="M390" s="39"/>
    </row>
    <row r="391" spans="1:13" s="2" customFormat="1" ht="15.6">
      <c r="A391" s="29" t="s">
        <v>129</v>
      </c>
      <c r="B391" s="25" t="s">
        <v>55</v>
      </c>
      <c r="C391" s="25" t="s">
        <v>40</v>
      </c>
      <c r="D391" s="25" t="s">
        <v>12</v>
      </c>
      <c r="E391" s="25" t="s">
        <v>142</v>
      </c>
      <c r="F391" s="39">
        <f>1760000</f>
        <v>1760000</v>
      </c>
      <c r="G391" s="39">
        <f t="shared" ref="G391" si="271">1760000-500-2418.17-817</f>
        <v>1756264.83</v>
      </c>
      <c r="H391" s="39">
        <v>1750084.6</v>
      </c>
      <c r="I391" s="39">
        <f t="shared" si="227"/>
        <v>6180.23</v>
      </c>
      <c r="J391" s="40">
        <f t="shared" si="228"/>
        <v>99.44</v>
      </c>
      <c r="K391" s="39"/>
      <c r="L391" s="39">
        <f t="shared" si="229"/>
        <v>99.65</v>
      </c>
      <c r="M391" s="39"/>
    </row>
    <row r="392" spans="1:13" s="2" customFormat="1" ht="46.8">
      <c r="A392" s="18" t="s">
        <v>124</v>
      </c>
      <c r="B392" s="25" t="s">
        <v>55</v>
      </c>
      <c r="C392" s="25" t="s">
        <v>40</v>
      </c>
      <c r="D392" s="25" t="s">
        <v>13</v>
      </c>
      <c r="E392" s="25" t="s">
        <v>27</v>
      </c>
      <c r="F392" s="39">
        <f>F393</f>
        <v>400000</v>
      </c>
      <c r="G392" s="39">
        <f t="shared" ref="G392:H392" si="272">G393</f>
        <v>1550169</v>
      </c>
      <c r="H392" s="39">
        <f t="shared" si="272"/>
        <v>1550169</v>
      </c>
      <c r="I392" s="39">
        <f t="shared" si="227"/>
        <v>0</v>
      </c>
      <c r="J392" s="40">
        <f t="shared" si="228"/>
        <v>387.54</v>
      </c>
      <c r="K392" s="39"/>
      <c r="L392" s="39">
        <f t="shared" si="229"/>
        <v>100</v>
      </c>
      <c r="M392" s="39"/>
    </row>
    <row r="393" spans="1:13" s="2" customFormat="1" ht="31.2">
      <c r="A393" s="29" t="s">
        <v>125</v>
      </c>
      <c r="B393" s="25" t="s">
        <v>55</v>
      </c>
      <c r="C393" s="25" t="s">
        <v>40</v>
      </c>
      <c r="D393" s="25" t="s">
        <v>13</v>
      </c>
      <c r="E393" s="25" t="s">
        <v>126</v>
      </c>
      <c r="F393" s="39">
        <f>400000</f>
        <v>400000</v>
      </c>
      <c r="G393" s="39">
        <f t="shared" ref="G393:H393" si="273">400000+1547000-201048.59-197000+1217.59</f>
        <v>1550169</v>
      </c>
      <c r="H393" s="39">
        <f t="shared" si="273"/>
        <v>1550169</v>
      </c>
      <c r="I393" s="39">
        <f t="shared" si="227"/>
        <v>0</v>
      </c>
      <c r="J393" s="40">
        <f t="shared" si="228"/>
        <v>387.54</v>
      </c>
      <c r="K393" s="39"/>
      <c r="L393" s="39">
        <f t="shared" si="229"/>
        <v>100</v>
      </c>
      <c r="M393" s="39"/>
    </row>
    <row r="394" spans="1:13" s="2" customFormat="1" ht="78">
      <c r="A394" s="18" t="s">
        <v>481</v>
      </c>
      <c r="B394" s="25" t="s">
        <v>55</v>
      </c>
      <c r="C394" s="25" t="s">
        <v>40</v>
      </c>
      <c r="D394" s="25" t="s">
        <v>14</v>
      </c>
      <c r="E394" s="25" t="s">
        <v>27</v>
      </c>
      <c r="F394" s="32">
        <f>F396+F400</f>
        <v>14265280</v>
      </c>
      <c r="G394" s="32">
        <f t="shared" ref="G394:H394" si="274">G396+G400</f>
        <v>13800224.869999999</v>
      </c>
      <c r="H394" s="32">
        <f t="shared" si="274"/>
        <v>13697418.82</v>
      </c>
      <c r="I394" s="32">
        <f t="shared" si="227"/>
        <v>102806.05</v>
      </c>
      <c r="J394" s="33">
        <f t="shared" si="228"/>
        <v>96.02</v>
      </c>
      <c r="K394" s="32"/>
      <c r="L394" s="32">
        <f t="shared" si="229"/>
        <v>99.26</v>
      </c>
      <c r="M394" s="32"/>
    </row>
    <row r="395" spans="1:13" s="2" customFormat="1" ht="62.4">
      <c r="A395" s="16" t="s">
        <v>495</v>
      </c>
      <c r="B395" s="25" t="s">
        <v>55</v>
      </c>
      <c r="C395" s="25" t="s">
        <v>40</v>
      </c>
      <c r="D395" s="25" t="s">
        <v>345</v>
      </c>
      <c r="E395" s="25" t="s">
        <v>27</v>
      </c>
      <c r="F395" s="26">
        <f>F396+F400</f>
        <v>14265280</v>
      </c>
      <c r="G395" s="26">
        <f t="shared" ref="G395:H395" si="275">G396+G400</f>
        <v>13800224.869999999</v>
      </c>
      <c r="H395" s="26">
        <f t="shared" si="275"/>
        <v>13697418.82</v>
      </c>
      <c r="I395" s="26">
        <f t="shared" si="227"/>
        <v>102806.05</v>
      </c>
      <c r="J395" s="27">
        <f t="shared" si="228"/>
        <v>96.02</v>
      </c>
      <c r="K395" s="26"/>
      <c r="L395" s="26">
        <f t="shared" si="229"/>
        <v>99.26</v>
      </c>
      <c r="M395" s="26"/>
    </row>
    <row r="396" spans="1:13" s="2" customFormat="1" ht="46.8">
      <c r="A396" s="18" t="s">
        <v>119</v>
      </c>
      <c r="B396" s="25" t="s">
        <v>55</v>
      </c>
      <c r="C396" s="25" t="s">
        <v>40</v>
      </c>
      <c r="D396" s="48" t="s">
        <v>15</v>
      </c>
      <c r="E396" s="25" t="s">
        <v>27</v>
      </c>
      <c r="F396" s="26">
        <f>F397+F398+F399</f>
        <v>14092080</v>
      </c>
      <c r="G396" s="26">
        <f t="shared" ref="G396:H396" si="276">G397+G398+G399</f>
        <v>13416726.869999999</v>
      </c>
      <c r="H396" s="26">
        <f t="shared" si="276"/>
        <v>13313920.82</v>
      </c>
      <c r="I396" s="26">
        <f t="shared" ref="I396:I459" si="277">$G396-$H396</f>
        <v>102806.05</v>
      </c>
      <c r="J396" s="27">
        <f t="shared" ref="J396:J459" si="278">$H396/$F396*100</f>
        <v>94.48</v>
      </c>
      <c r="K396" s="26"/>
      <c r="L396" s="26">
        <f t="shared" ref="L396:L459" si="279">$H396/$G396*100</f>
        <v>99.23</v>
      </c>
      <c r="M396" s="26"/>
    </row>
    <row r="397" spans="1:13" s="2" customFormat="1" ht="15.6">
      <c r="A397" s="29" t="s">
        <v>140</v>
      </c>
      <c r="B397" s="25" t="s">
        <v>55</v>
      </c>
      <c r="C397" s="25" t="s">
        <v>40</v>
      </c>
      <c r="D397" s="25" t="s">
        <v>15</v>
      </c>
      <c r="E397" s="25" t="s">
        <v>141</v>
      </c>
      <c r="F397" s="39">
        <f>10577200</f>
        <v>10577200</v>
      </c>
      <c r="G397" s="39">
        <f t="shared" ref="G397:H397" si="280">10577200-50000-40000-140000-22964.81+70000</f>
        <v>10394235.189999999</v>
      </c>
      <c r="H397" s="39">
        <f t="shared" si="280"/>
        <v>10394235.189999999</v>
      </c>
      <c r="I397" s="39">
        <f t="shared" si="277"/>
        <v>0</v>
      </c>
      <c r="J397" s="40">
        <f t="shared" si="278"/>
        <v>98.27</v>
      </c>
      <c r="K397" s="39"/>
      <c r="L397" s="39">
        <f t="shared" si="279"/>
        <v>100</v>
      </c>
      <c r="M397" s="39"/>
    </row>
    <row r="398" spans="1:13" s="1" customFormat="1" ht="31.2">
      <c r="A398" s="29" t="s">
        <v>125</v>
      </c>
      <c r="B398" s="25" t="s">
        <v>55</v>
      </c>
      <c r="C398" s="25" t="s">
        <v>40</v>
      </c>
      <c r="D398" s="25" t="s">
        <v>15</v>
      </c>
      <c r="E398" s="25" t="s">
        <v>126</v>
      </c>
      <c r="F398" s="39">
        <f>3514880</f>
        <v>3514880</v>
      </c>
      <c r="G398" s="39">
        <f t="shared" ref="G398" si="281">3514880+128500-589172.54-120000-146336.17+184000-99400+150000</f>
        <v>3022471.29</v>
      </c>
      <c r="H398" s="39">
        <v>2919665.24</v>
      </c>
      <c r="I398" s="39">
        <f t="shared" si="277"/>
        <v>102806.05</v>
      </c>
      <c r="J398" s="40">
        <f t="shared" si="278"/>
        <v>83.07</v>
      </c>
      <c r="K398" s="39"/>
      <c r="L398" s="39">
        <f t="shared" si="279"/>
        <v>96.6</v>
      </c>
      <c r="M398" s="39"/>
    </row>
    <row r="399" spans="1:13" s="1" customFormat="1" ht="15.6">
      <c r="A399" s="29" t="s">
        <v>129</v>
      </c>
      <c r="B399" s="25" t="s">
        <v>55</v>
      </c>
      <c r="C399" s="25" t="s">
        <v>40</v>
      </c>
      <c r="D399" s="25" t="s">
        <v>15</v>
      </c>
      <c r="E399" s="25" t="s">
        <v>142</v>
      </c>
      <c r="F399" s="39">
        <v>0</v>
      </c>
      <c r="G399" s="39">
        <f t="shared" ref="G399:H399" si="282">500-479.61</f>
        <v>20.39</v>
      </c>
      <c r="H399" s="39">
        <f t="shared" si="282"/>
        <v>20.39</v>
      </c>
      <c r="I399" s="39">
        <f t="shared" si="277"/>
        <v>0</v>
      </c>
      <c r="J399" s="40" t="e">
        <f t="shared" si="278"/>
        <v>#DIV/0!</v>
      </c>
      <c r="K399" s="39"/>
      <c r="L399" s="39">
        <f t="shared" si="279"/>
        <v>100</v>
      </c>
      <c r="M399" s="39"/>
    </row>
    <row r="400" spans="1:13" s="1" customFormat="1" ht="46.8">
      <c r="A400" s="18" t="s">
        <v>124</v>
      </c>
      <c r="B400" s="25" t="s">
        <v>55</v>
      </c>
      <c r="C400" s="25" t="s">
        <v>40</v>
      </c>
      <c r="D400" s="25" t="s">
        <v>16</v>
      </c>
      <c r="E400" s="25" t="s">
        <v>27</v>
      </c>
      <c r="F400" s="39">
        <f>F401</f>
        <v>173200</v>
      </c>
      <c r="G400" s="39">
        <f t="shared" ref="G400:H400" si="283">G401</f>
        <v>383498</v>
      </c>
      <c r="H400" s="39">
        <f t="shared" si="283"/>
        <v>383498</v>
      </c>
      <c r="I400" s="39">
        <f t="shared" si="277"/>
        <v>0</v>
      </c>
      <c r="J400" s="40">
        <f t="shared" si="278"/>
        <v>221.42</v>
      </c>
      <c r="K400" s="39"/>
      <c r="L400" s="39">
        <f t="shared" si="279"/>
        <v>100</v>
      </c>
      <c r="M400" s="39"/>
    </row>
    <row r="401" spans="1:13" s="1" customFormat="1" ht="31.2">
      <c r="A401" s="29" t="s">
        <v>125</v>
      </c>
      <c r="B401" s="25" t="s">
        <v>55</v>
      </c>
      <c r="C401" s="25" t="s">
        <v>40</v>
      </c>
      <c r="D401" s="25" t="s">
        <v>16</v>
      </c>
      <c r="E401" s="25" t="s">
        <v>126</v>
      </c>
      <c r="F401" s="39">
        <f>173200</f>
        <v>173200</v>
      </c>
      <c r="G401" s="39">
        <f t="shared" ref="G401:H401" si="284">173200+295400+385000-470102</f>
        <v>383498</v>
      </c>
      <c r="H401" s="39">
        <f t="shared" si="284"/>
        <v>383498</v>
      </c>
      <c r="I401" s="39">
        <f t="shared" si="277"/>
        <v>0</v>
      </c>
      <c r="J401" s="40">
        <f t="shared" si="278"/>
        <v>221.42</v>
      </c>
      <c r="K401" s="39"/>
      <c r="L401" s="39">
        <f t="shared" si="279"/>
        <v>100</v>
      </c>
      <c r="M401" s="39"/>
    </row>
    <row r="402" spans="1:13" s="1" customFormat="1" ht="31.2">
      <c r="A402" s="45" t="s">
        <v>347</v>
      </c>
      <c r="B402" s="25" t="s">
        <v>55</v>
      </c>
      <c r="C402" s="25" t="s">
        <v>40</v>
      </c>
      <c r="D402" s="25" t="s">
        <v>181</v>
      </c>
      <c r="E402" s="25" t="s">
        <v>27</v>
      </c>
      <c r="F402" s="26">
        <f>F403+F416</f>
        <v>2259707.37</v>
      </c>
      <c r="G402" s="26">
        <f t="shared" ref="G402:H402" si="285">G403+G416</f>
        <v>21243005.699999999</v>
      </c>
      <c r="H402" s="26">
        <f t="shared" si="285"/>
        <v>21243005.32</v>
      </c>
      <c r="I402" s="26">
        <f t="shared" si="277"/>
        <v>0.38</v>
      </c>
      <c r="J402" s="27">
        <f t="shared" si="278"/>
        <v>940.08</v>
      </c>
      <c r="K402" s="26"/>
      <c r="L402" s="26">
        <f t="shared" si="279"/>
        <v>100</v>
      </c>
      <c r="M402" s="26"/>
    </row>
    <row r="403" spans="1:13" s="1" customFormat="1" ht="46.8">
      <c r="A403" s="45" t="s">
        <v>348</v>
      </c>
      <c r="B403" s="25" t="s">
        <v>55</v>
      </c>
      <c r="C403" s="25" t="s">
        <v>40</v>
      </c>
      <c r="D403" s="25" t="s">
        <v>346</v>
      </c>
      <c r="E403" s="25" t="s">
        <v>27</v>
      </c>
      <c r="F403" s="26">
        <f>F404+F406+F408+F410+F412+F414</f>
        <v>2259707.37</v>
      </c>
      <c r="G403" s="26">
        <f t="shared" ref="G403:H403" si="286">G404+G406+G408+G410+G412+G414</f>
        <v>2161710</v>
      </c>
      <c r="H403" s="26">
        <f t="shared" si="286"/>
        <v>2161709.62</v>
      </c>
      <c r="I403" s="26">
        <f t="shared" si="277"/>
        <v>0.38</v>
      </c>
      <c r="J403" s="27">
        <f t="shared" si="278"/>
        <v>95.66</v>
      </c>
      <c r="K403" s="26"/>
      <c r="L403" s="26">
        <f t="shared" si="279"/>
        <v>100</v>
      </c>
      <c r="M403" s="26"/>
    </row>
    <row r="404" spans="1:13" s="1" customFormat="1" ht="62.4">
      <c r="A404" s="45" t="s">
        <v>252</v>
      </c>
      <c r="B404" s="25" t="s">
        <v>55</v>
      </c>
      <c r="C404" s="25" t="s">
        <v>40</v>
      </c>
      <c r="D404" s="47" t="s">
        <v>197</v>
      </c>
      <c r="E404" s="25" t="s">
        <v>27</v>
      </c>
      <c r="F404" s="39">
        <f>F405</f>
        <v>1978717</v>
      </c>
      <c r="G404" s="39">
        <f t="shared" ref="G404:H404" si="287">G405</f>
        <v>1978717</v>
      </c>
      <c r="H404" s="39">
        <f t="shared" si="287"/>
        <v>1978716.62</v>
      </c>
      <c r="I404" s="39">
        <f t="shared" si="277"/>
        <v>0.38</v>
      </c>
      <c r="J404" s="40">
        <f t="shared" si="278"/>
        <v>100</v>
      </c>
      <c r="K404" s="39"/>
      <c r="L404" s="39">
        <f t="shared" si="279"/>
        <v>100</v>
      </c>
      <c r="M404" s="39"/>
    </row>
    <row r="405" spans="1:13" s="1" customFormat="1" ht="31.2">
      <c r="A405" s="29" t="s">
        <v>125</v>
      </c>
      <c r="B405" s="25" t="s">
        <v>55</v>
      </c>
      <c r="C405" s="25" t="s">
        <v>40</v>
      </c>
      <c r="D405" s="47" t="s">
        <v>197</v>
      </c>
      <c r="E405" s="25" t="s">
        <v>126</v>
      </c>
      <c r="F405" s="39">
        <v>1978717</v>
      </c>
      <c r="G405" s="39">
        <v>1978717</v>
      </c>
      <c r="H405" s="39">
        <v>1978716.62</v>
      </c>
      <c r="I405" s="39">
        <f t="shared" si="277"/>
        <v>0.38</v>
      </c>
      <c r="J405" s="40">
        <f t="shared" si="278"/>
        <v>100</v>
      </c>
      <c r="K405" s="39"/>
      <c r="L405" s="39">
        <f t="shared" si="279"/>
        <v>100</v>
      </c>
      <c r="M405" s="39"/>
    </row>
    <row r="406" spans="1:13" s="1" customFormat="1" ht="78">
      <c r="A406" s="46" t="s">
        <v>196</v>
      </c>
      <c r="B406" s="25" t="s">
        <v>55</v>
      </c>
      <c r="C406" s="25" t="s">
        <v>40</v>
      </c>
      <c r="D406" s="47" t="s">
        <v>197</v>
      </c>
      <c r="E406" s="25" t="s">
        <v>27</v>
      </c>
      <c r="F406" s="39">
        <f>F407</f>
        <v>104143</v>
      </c>
      <c r="G406" s="39">
        <f t="shared" ref="G406:H406" si="288">G407</f>
        <v>9791.9699999999993</v>
      </c>
      <c r="H406" s="39">
        <f t="shared" si="288"/>
        <v>9791.9699999999993</v>
      </c>
      <c r="I406" s="39">
        <f t="shared" si="277"/>
        <v>0</v>
      </c>
      <c r="J406" s="40">
        <f t="shared" si="278"/>
        <v>9.4</v>
      </c>
      <c r="K406" s="39"/>
      <c r="L406" s="39">
        <f t="shared" si="279"/>
        <v>100</v>
      </c>
      <c r="M406" s="39"/>
    </row>
    <row r="407" spans="1:13" s="1" customFormat="1" ht="140.4">
      <c r="A407" s="29" t="s">
        <v>125</v>
      </c>
      <c r="B407" s="25" t="s">
        <v>55</v>
      </c>
      <c r="C407" s="25" t="s">
        <v>40</v>
      </c>
      <c r="D407" s="47" t="s">
        <v>197</v>
      </c>
      <c r="E407" s="25" t="s">
        <v>126</v>
      </c>
      <c r="F407" s="39">
        <f>104143</f>
        <v>104143</v>
      </c>
      <c r="G407" s="39">
        <f t="shared" ref="G407:H407" si="289">104143-94351.41+0.38</f>
        <v>9791.9699999999993</v>
      </c>
      <c r="H407" s="39">
        <f t="shared" si="289"/>
        <v>9791.9699999999993</v>
      </c>
      <c r="I407" s="39">
        <f t="shared" si="277"/>
        <v>0</v>
      </c>
      <c r="J407" s="40">
        <f t="shared" si="278"/>
        <v>9.4</v>
      </c>
      <c r="K407" s="15" t="s">
        <v>598</v>
      </c>
      <c r="L407" s="39">
        <f t="shared" si="279"/>
        <v>100</v>
      </c>
      <c r="M407" s="39"/>
    </row>
    <row r="408" spans="1:13" s="1" customFormat="1" ht="93.6">
      <c r="A408" s="16" t="s">
        <v>254</v>
      </c>
      <c r="B408" s="25" t="s">
        <v>55</v>
      </c>
      <c r="C408" s="25" t="s">
        <v>40</v>
      </c>
      <c r="D408" s="63" t="s">
        <v>255</v>
      </c>
      <c r="E408" s="25" t="s">
        <v>27</v>
      </c>
      <c r="F408" s="26">
        <f>F409</f>
        <v>0</v>
      </c>
      <c r="G408" s="26">
        <f t="shared" ref="G408:H408" si="290">G409</f>
        <v>0</v>
      </c>
      <c r="H408" s="26">
        <f t="shared" si="290"/>
        <v>0</v>
      </c>
      <c r="I408" s="26">
        <f t="shared" si="277"/>
        <v>0</v>
      </c>
      <c r="J408" s="27" t="e">
        <f t="shared" si="278"/>
        <v>#DIV/0!</v>
      </c>
      <c r="K408" s="26"/>
      <c r="L408" s="26" t="e">
        <f t="shared" si="279"/>
        <v>#DIV/0!</v>
      </c>
      <c r="M408" s="26"/>
    </row>
    <row r="409" spans="1:13" s="1" customFormat="1" ht="140.4">
      <c r="A409" s="29" t="s">
        <v>125</v>
      </c>
      <c r="B409" s="25" t="s">
        <v>55</v>
      </c>
      <c r="C409" s="25" t="s">
        <v>40</v>
      </c>
      <c r="D409" s="63" t="s">
        <v>255</v>
      </c>
      <c r="E409" s="25" t="s">
        <v>126</v>
      </c>
      <c r="F409" s="55">
        <v>0</v>
      </c>
      <c r="G409" s="55">
        <v>0</v>
      </c>
      <c r="H409" s="55">
        <v>0</v>
      </c>
      <c r="I409" s="55">
        <f t="shared" si="277"/>
        <v>0</v>
      </c>
      <c r="J409" s="56" t="e">
        <f t="shared" si="278"/>
        <v>#DIV/0!</v>
      </c>
      <c r="K409" s="15" t="s">
        <v>598</v>
      </c>
      <c r="L409" s="15" t="e">
        <f t="shared" si="279"/>
        <v>#DIV/0!</v>
      </c>
      <c r="M409" s="15" t="s">
        <v>598</v>
      </c>
    </row>
    <row r="410" spans="1:13" s="1" customFormat="1" ht="93.6">
      <c r="A410" s="60" t="s">
        <v>253</v>
      </c>
      <c r="B410" s="25" t="s">
        <v>55</v>
      </c>
      <c r="C410" s="25" t="s">
        <v>40</v>
      </c>
      <c r="D410" s="63" t="s">
        <v>255</v>
      </c>
      <c r="E410" s="25" t="s">
        <v>27</v>
      </c>
      <c r="F410" s="26">
        <f>F411</f>
        <v>0</v>
      </c>
      <c r="G410" s="26">
        <f t="shared" ref="G410:H410" si="291">G411</f>
        <v>0</v>
      </c>
      <c r="H410" s="26">
        <f t="shared" si="291"/>
        <v>0</v>
      </c>
      <c r="I410" s="26">
        <f t="shared" si="277"/>
        <v>0</v>
      </c>
      <c r="J410" s="27" t="e">
        <f t="shared" si="278"/>
        <v>#DIV/0!</v>
      </c>
      <c r="K410" s="26"/>
      <c r="L410" s="26" t="e">
        <f t="shared" si="279"/>
        <v>#DIV/0!</v>
      </c>
      <c r="M410" s="26"/>
    </row>
    <row r="411" spans="1:13" s="1" customFormat="1" ht="140.4">
      <c r="A411" s="29" t="s">
        <v>125</v>
      </c>
      <c r="B411" s="25" t="s">
        <v>55</v>
      </c>
      <c r="C411" s="25" t="s">
        <v>40</v>
      </c>
      <c r="D411" s="63" t="s">
        <v>255</v>
      </c>
      <c r="E411" s="25" t="s">
        <v>126</v>
      </c>
      <c r="F411" s="26">
        <v>0</v>
      </c>
      <c r="G411" s="26">
        <v>0</v>
      </c>
      <c r="H411" s="26">
        <v>0</v>
      </c>
      <c r="I411" s="26">
        <f t="shared" si="277"/>
        <v>0</v>
      </c>
      <c r="J411" s="27" t="e">
        <f t="shared" si="278"/>
        <v>#DIV/0!</v>
      </c>
      <c r="K411" s="38" t="s">
        <v>598</v>
      </c>
      <c r="L411" s="26" t="e">
        <f t="shared" si="279"/>
        <v>#DIV/0!</v>
      </c>
      <c r="M411" s="38" t="s">
        <v>598</v>
      </c>
    </row>
    <row r="412" spans="1:13" s="1" customFormat="1" ht="78">
      <c r="A412" s="62" t="s">
        <v>204</v>
      </c>
      <c r="B412" s="25" t="s">
        <v>55</v>
      </c>
      <c r="C412" s="25" t="s">
        <v>40</v>
      </c>
      <c r="D412" s="63" t="s">
        <v>217</v>
      </c>
      <c r="E412" s="25" t="s">
        <v>27</v>
      </c>
      <c r="F412" s="39">
        <f>F413</f>
        <v>168005</v>
      </c>
      <c r="G412" s="39">
        <f t="shared" ref="G412:H412" si="292">G413</f>
        <v>168005</v>
      </c>
      <c r="H412" s="39">
        <f t="shared" si="292"/>
        <v>168005</v>
      </c>
      <c r="I412" s="39">
        <f t="shared" si="277"/>
        <v>0</v>
      </c>
      <c r="J412" s="40">
        <f t="shared" si="278"/>
        <v>100</v>
      </c>
      <c r="K412" s="39"/>
      <c r="L412" s="39">
        <f t="shared" si="279"/>
        <v>100</v>
      </c>
      <c r="M412" s="39"/>
    </row>
    <row r="413" spans="1:13" s="1" customFormat="1" ht="31.2">
      <c r="A413" s="29" t="s">
        <v>125</v>
      </c>
      <c r="B413" s="25" t="s">
        <v>55</v>
      </c>
      <c r="C413" s="25" t="s">
        <v>40</v>
      </c>
      <c r="D413" s="63" t="s">
        <v>217</v>
      </c>
      <c r="E413" s="25" t="s">
        <v>126</v>
      </c>
      <c r="F413" s="39">
        <v>168005</v>
      </c>
      <c r="G413" s="39">
        <v>168005</v>
      </c>
      <c r="H413" s="39">
        <v>168005</v>
      </c>
      <c r="I413" s="39">
        <f t="shared" si="277"/>
        <v>0</v>
      </c>
      <c r="J413" s="40">
        <f t="shared" si="278"/>
        <v>100</v>
      </c>
      <c r="K413" s="39"/>
      <c r="L413" s="39">
        <f t="shared" si="279"/>
        <v>100</v>
      </c>
      <c r="M413" s="39"/>
    </row>
    <row r="414" spans="1:13" s="1" customFormat="1" ht="78">
      <c r="A414" s="62" t="s">
        <v>216</v>
      </c>
      <c r="B414" s="25" t="s">
        <v>55</v>
      </c>
      <c r="C414" s="25" t="s">
        <v>40</v>
      </c>
      <c r="D414" s="63" t="s">
        <v>217</v>
      </c>
      <c r="E414" s="25" t="s">
        <v>27</v>
      </c>
      <c r="F414" s="39">
        <f>F415</f>
        <v>8842.3700000000008</v>
      </c>
      <c r="G414" s="39">
        <f t="shared" ref="G414:H414" si="293">G415</f>
        <v>5196.03</v>
      </c>
      <c r="H414" s="39">
        <f t="shared" si="293"/>
        <v>5196.03</v>
      </c>
      <c r="I414" s="39">
        <f t="shared" si="277"/>
        <v>0</v>
      </c>
      <c r="J414" s="40">
        <f t="shared" si="278"/>
        <v>58.76</v>
      </c>
      <c r="K414" s="39"/>
      <c r="L414" s="39">
        <f t="shared" si="279"/>
        <v>100</v>
      </c>
      <c r="M414" s="39"/>
    </row>
    <row r="415" spans="1:13" s="1" customFormat="1" ht="140.4">
      <c r="A415" s="29" t="s">
        <v>125</v>
      </c>
      <c r="B415" s="25" t="s">
        <v>55</v>
      </c>
      <c r="C415" s="25" t="s">
        <v>40</v>
      </c>
      <c r="D415" s="63" t="s">
        <v>217</v>
      </c>
      <c r="E415" s="25" t="s">
        <v>126</v>
      </c>
      <c r="F415" s="39">
        <f>8842.37</f>
        <v>8842.3700000000008</v>
      </c>
      <c r="G415" s="39">
        <f t="shared" ref="G415:H415" si="294">8842.37-3646.34</f>
        <v>5196.03</v>
      </c>
      <c r="H415" s="39">
        <f t="shared" si="294"/>
        <v>5196.03</v>
      </c>
      <c r="I415" s="39">
        <f t="shared" si="277"/>
        <v>0</v>
      </c>
      <c r="J415" s="40">
        <f t="shared" si="278"/>
        <v>58.76</v>
      </c>
      <c r="K415" s="15" t="s">
        <v>598</v>
      </c>
      <c r="L415" s="39">
        <f t="shared" si="279"/>
        <v>100</v>
      </c>
      <c r="M415" s="39"/>
    </row>
    <row r="416" spans="1:13" s="1" customFormat="1" ht="15.6">
      <c r="A416" s="60" t="s">
        <v>544</v>
      </c>
      <c r="B416" s="65" t="s">
        <v>55</v>
      </c>
      <c r="C416" s="28" t="s">
        <v>40</v>
      </c>
      <c r="D416" s="28" t="s">
        <v>542</v>
      </c>
      <c r="E416" s="28" t="s">
        <v>27</v>
      </c>
      <c r="F416" s="39">
        <f>F417+F419</f>
        <v>0</v>
      </c>
      <c r="G416" s="39">
        <f t="shared" ref="G416:H416" si="295">G417+G419</f>
        <v>19081295.699999999</v>
      </c>
      <c r="H416" s="39">
        <f t="shared" si="295"/>
        <v>19081295.699999999</v>
      </c>
      <c r="I416" s="39">
        <f t="shared" si="277"/>
        <v>0</v>
      </c>
      <c r="J416" s="40" t="e">
        <f t="shared" si="278"/>
        <v>#DIV/0!</v>
      </c>
      <c r="K416" s="39"/>
      <c r="L416" s="39">
        <f t="shared" si="279"/>
        <v>100</v>
      </c>
      <c r="M416" s="39"/>
    </row>
    <row r="417" spans="1:13" s="1" customFormat="1" ht="31.2">
      <c r="A417" s="29" t="s">
        <v>545</v>
      </c>
      <c r="B417" s="25" t="s">
        <v>55</v>
      </c>
      <c r="C417" s="25" t="s">
        <v>40</v>
      </c>
      <c r="D417" s="63" t="s">
        <v>543</v>
      </c>
      <c r="E417" s="25" t="s">
        <v>27</v>
      </c>
      <c r="F417" s="39">
        <f>F418</f>
        <v>0</v>
      </c>
      <c r="G417" s="39">
        <f t="shared" ref="G417:H417" si="296">G418</f>
        <v>18987337.77</v>
      </c>
      <c r="H417" s="39">
        <f t="shared" si="296"/>
        <v>18987337.77</v>
      </c>
      <c r="I417" s="39">
        <f t="shared" si="277"/>
        <v>0</v>
      </c>
      <c r="J417" s="40" t="e">
        <f t="shared" si="278"/>
        <v>#DIV/0!</v>
      </c>
      <c r="K417" s="39"/>
      <c r="L417" s="39">
        <f t="shared" si="279"/>
        <v>100</v>
      </c>
      <c r="M417" s="39"/>
    </row>
    <row r="418" spans="1:13" s="1" customFormat="1" ht="140.4">
      <c r="A418" s="29" t="s">
        <v>125</v>
      </c>
      <c r="B418" s="25" t="s">
        <v>55</v>
      </c>
      <c r="C418" s="25" t="s">
        <v>40</v>
      </c>
      <c r="D418" s="63" t="s">
        <v>543</v>
      </c>
      <c r="E418" s="25" t="s">
        <v>126</v>
      </c>
      <c r="F418" s="39">
        <f>0</f>
        <v>0</v>
      </c>
      <c r="G418" s="39">
        <f t="shared" ref="G418:H418" si="297">0+16150357.14+3417629.28-580648.65</f>
        <v>18987337.77</v>
      </c>
      <c r="H418" s="39">
        <f t="shared" si="297"/>
        <v>18987337.77</v>
      </c>
      <c r="I418" s="39">
        <f t="shared" si="277"/>
        <v>0</v>
      </c>
      <c r="J418" s="40" t="e">
        <f t="shared" si="278"/>
        <v>#DIV/0!</v>
      </c>
      <c r="K418" s="15" t="s">
        <v>598</v>
      </c>
      <c r="L418" s="39">
        <f t="shared" si="279"/>
        <v>100</v>
      </c>
      <c r="M418" s="39"/>
    </row>
    <row r="419" spans="1:13" s="1" customFormat="1" ht="31.2">
      <c r="A419" s="29" t="s">
        <v>546</v>
      </c>
      <c r="B419" s="25" t="s">
        <v>55</v>
      </c>
      <c r="C419" s="25" t="s">
        <v>40</v>
      </c>
      <c r="D419" s="63" t="s">
        <v>543</v>
      </c>
      <c r="E419" s="25" t="s">
        <v>27</v>
      </c>
      <c r="F419" s="39">
        <f>F420</f>
        <v>0</v>
      </c>
      <c r="G419" s="39">
        <f t="shared" ref="G419:H419" si="298">G420</f>
        <v>93957.93</v>
      </c>
      <c r="H419" s="39">
        <f t="shared" si="298"/>
        <v>93957.93</v>
      </c>
      <c r="I419" s="39">
        <f t="shared" si="277"/>
        <v>0</v>
      </c>
      <c r="J419" s="40" t="e">
        <f t="shared" si="278"/>
        <v>#DIV/0!</v>
      </c>
      <c r="K419" s="39"/>
      <c r="L419" s="39">
        <f t="shared" si="279"/>
        <v>100</v>
      </c>
      <c r="M419" s="39"/>
    </row>
    <row r="420" spans="1:13" s="1" customFormat="1" ht="140.4">
      <c r="A420" s="62" t="s">
        <v>125</v>
      </c>
      <c r="B420" s="25" t="s">
        <v>55</v>
      </c>
      <c r="C420" s="25" t="s">
        <v>40</v>
      </c>
      <c r="D420" s="63" t="s">
        <v>543</v>
      </c>
      <c r="E420" s="25" t="s">
        <v>126</v>
      </c>
      <c r="F420" s="39">
        <f>0</f>
        <v>0</v>
      </c>
      <c r="G420" s="39">
        <f t="shared" ref="G420:H420" si="299">0+79919.3+16911.97-2873.34</f>
        <v>93957.93</v>
      </c>
      <c r="H420" s="39">
        <f t="shared" si="299"/>
        <v>93957.93</v>
      </c>
      <c r="I420" s="39">
        <f t="shared" si="277"/>
        <v>0</v>
      </c>
      <c r="J420" s="40" t="e">
        <f t="shared" si="278"/>
        <v>#DIV/0!</v>
      </c>
      <c r="K420" s="15" t="s">
        <v>598</v>
      </c>
      <c r="L420" s="39">
        <f t="shared" si="279"/>
        <v>100</v>
      </c>
      <c r="M420" s="39"/>
    </row>
    <row r="421" spans="1:13" s="1" customFormat="1" ht="31.2">
      <c r="A421" s="16" t="s">
        <v>147</v>
      </c>
      <c r="B421" s="25" t="s">
        <v>55</v>
      </c>
      <c r="C421" s="25" t="s">
        <v>75</v>
      </c>
      <c r="D421" s="25" t="s">
        <v>154</v>
      </c>
      <c r="E421" s="25" t="s">
        <v>27</v>
      </c>
      <c r="F421" s="26">
        <f>F422+F431</f>
        <v>15012037.01</v>
      </c>
      <c r="G421" s="26">
        <f t="shared" ref="G421:H421" si="300">G422+G431</f>
        <v>17282092.260000002</v>
      </c>
      <c r="H421" s="26">
        <f t="shared" si="300"/>
        <v>17241792.379999999</v>
      </c>
      <c r="I421" s="26">
        <f t="shared" si="277"/>
        <v>40299.879999999997</v>
      </c>
      <c r="J421" s="27">
        <f t="shared" si="278"/>
        <v>114.85</v>
      </c>
      <c r="K421" s="26"/>
      <c r="L421" s="26">
        <f t="shared" si="279"/>
        <v>99.77</v>
      </c>
      <c r="M421" s="26"/>
    </row>
    <row r="422" spans="1:13" s="1" customFormat="1" ht="46.8">
      <c r="A422" s="16" t="s">
        <v>342</v>
      </c>
      <c r="B422" s="25" t="s">
        <v>55</v>
      </c>
      <c r="C422" s="25" t="s">
        <v>75</v>
      </c>
      <c r="D422" s="25" t="s">
        <v>10</v>
      </c>
      <c r="E422" s="25" t="s">
        <v>27</v>
      </c>
      <c r="F422" s="26">
        <f t="shared" ref="F422:H422" si="301">F423</f>
        <v>11927150</v>
      </c>
      <c r="G422" s="26">
        <f t="shared" si="301"/>
        <v>14831624.77</v>
      </c>
      <c r="H422" s="26">
        <f t="shared" si="301"/>
        <v>14791324.890000001</v>
      </c>
      <c r="I422" s="26">
        <f t="shared" si="277"/>
        <v>40299.879999999997</v>
      </c>
      <c r="J422" s="27">
        <f t="shared" si="278"/>
        <v>124.01</v>
      </c>
      <c r="K422" s="26"/>
      <c r="L422" s="26">
        <f t="shared" si="279"/>
        <v>99.73</v>
      </c>
      <c r="M422" s="26"/>
    </row>
    <row r="423" spans="1:13" s="1" customFormat="1" ht="62.4">
      <c r="A423" s="18" t="s">
        <v>349</v>
      </c>
      <c r="B423" s="25" t="s">
        <v>55</v>
      </c>
      <c r="C423" s="48" t="s">
        <v>75</v>
      </c>
      <c r="D423" s="48" t="s">
        <v>17</v>
      </c>
      <c r="E423" s="48" t="s">
        <v>27</v>
      </c>
      <c r="F423" s="26">
        <f>F425+F429</f>
        <v>11927150</v>
      </c>
      <c r="G423" s="26">
        <f t="shared" ref="G423:H423" si="302">G425+G429</f>
        <v>14831624.77</v>
      </c>
      <c r="H423" s="26">
        <f t="shared" si="302"/>
        <v>14791324.890000001</v>
      </c>
      <c r="I423" s="26">
        <f t="shared" si="277"/>
        <v>40299.879999999997</v>
      </c>
      <c r="J423" s="27">
        <f t="shared" si="278"/>
        <v>124.01</v>
      </c>
      <c r="K423" s="26"/>
      <c r="L423" s="26">
        <f t="shared" si="279"/>
        <v>99.73</v>
      </c>
      <c r="M423" s="26"/>
    </row>
    <row r="424" spans="1:13" s="1" customFormat="1" ht="62.4">
      <c r="A424" s="18" t="s">
        <v>495</v>
      </c>
      <c r="B424" s="25" t="s">
        <v>55</v>
      </c>
      <c r="C424" s="48" t="s">
        <v>75</v>
      </c>
      <c r="D424" s="48" t="s">
        <v>494</v>
      </c>
      <c r="E424" s="48" t="s">
        <v>27</v>
      </c>
      <c r="F424" s="26">
        <f>F425+F426+F427</f>
        <v>23854300</v>
      </c>
      <c r="G424" s="26">
        <f t="shared" ref="G424:H424" si="303">G425+G426+G427</f>
        <v>29663249.539999999</v>
      </c>
      <c r="H424" s="26">
        <f t="shared" si="303"/>
        <v>29582649.780000001</v>
      </c>
      <c r="I424" s="26">
        <f t="shared" si="277"/>
        <v>80599.759999999995</v>
      </c>
      <c r="J424" s="27">
        <f t="shared" si="278"/>
        <v>124.01</v>
      </c>
      <c r="K424" s="26"/>
      <c r="L424" s="26">
        <f t="shared" si="279"/>
        <v>99.73</v>
      </c>
      <c r="M424" s="26"/>
    </row>
    <row r="425" spans="1:13" s="1" customFormat="1" ht="46.8">
      <c r="A425" s="18" t="s">
        <v>119</v>
      </c>
      <c r="B425" s="25" t="s">
        <v>55</v>
      </c>
      <c r="C425" s="48" t="s">
        <v>75</v>
      </c>
      <c r="D425" s="48" t="s">
        <v>350</v>
      </c>
      <c r="E425" s="48" t="s">
        <v>27</v>
      </c>
      <c r="F425" s="26">
        <f>F426+F427+F428</f>
        <v>11927150</v>
      </c>
      <c r="G425" s="26">
        <f t="shared" ref="G425:H425" si="304">G426+G427+G428</f>
        <v>14831624.77</v>
      </c>
      <c r="H425" s="26">
        <f t="shared" si="304"/>
        <v>14791324.890000001</v>
      </c>
      <c r="I425" s="26">
        <f t="shared" si="277"/>
        <v>40299.879999999997</v>
      </c>
      <c r="J425" s="27">
        <f t="shared" si="278"/>
        <v>124.01</v>
      </c>
      <c r="K425" s="26"/>
      <c r="L425" s="26">
        <f t="shared" si="279"/>
        <v>99.73</v>
      </c>
      <c r="M425" s="26"/>
    </row>
    <row r="426" spans="1:13" s="1" customFormat="1" ht="15.6">
      <c r="A426" s="29" t="s">
        <v>140</v>
      </c>
      <c r="B426" s="25" t="s">
        <v>55</v>
      </c>
      <c r="C426" s="48" t="s">
        <v>75</v>
      </c>
      <c r="D426" s="48" t="s">
        <v>350</v>
      </c>
      <c r="E426" s="25" t="s">
        <v>141</v>
      </c>
      <c r="F426" s="39">
        <f>10411800</f>
        <v>10411800</v>
      </c>
      <c r="G426" s="39">
        <f t="shared" ref="G426:H426" si="305">10411800+1000000-50000+690000+1200000+120000</f>
        <v>13371800</v>
      </c>
      <c r="H426" s="39">
        <f t="shared" si="305"/>
        <v>13371800</v>
      </c>
      <c r="I426" s="39">
        <f t="shared" si="277"/>
        <v>0</v>
      </c>
      <c r="J426" s="40">
        <f t="shared" si="278"/>
        <v>128.43</v>
      </c>
      <c r="K426" s="39"/>
      <c r="L426" s="39">
        <f t="shared" si="279"/>
        <v>100</v>
      </c>
      <c r="M426" s="39"/>
    </row>
    <row r="427" spans="1:13" s="1" customFormat="1" ht="31.2">
      <c r="A427" s="29" t="s">
        <v>125</v>
      </c>
      <c r="B427" s="25" t="s">
        <v>55</v>
      </c>
      <c r="C427" s="48" t="s">
        <v>75</v>
      </c>
      <c r="D427" s="48" t="s">
        <v>350</v>
      </c>
      <c r="E427" s="25" t="s">
        <v>126</v>
      </c>
      <c r="F427" s="39">
        <f>1515350</f>
        <v>1515350</v>
      </c>
      <c r="G427" s="39">
        <f t="shared" ref="G427" si="306">1515350+42500-198025.23+100000</f>
        <v>1459824.77</v>
      </c>
      <c r="H427" s="39">
        <v>1419524.89</v>
      </c>
      <c r="I427" s="39">
        <f t="shared" si="277"/>
        <v>40299.879999999997</v>
      </c>
      <c r="J427" s="40">
        <f t="shared" si="278"/>
        <v>93.68</v>
      </c>
      <c r="K427" s="39"/>
      <c r="L427" s="39">
        <f t="shared" si="279"/>
        <v>97.24</v>
      </c>
      <c r="M427" s="39"/>
    </row>
    <row r="428" spans="1:13" s="1" customFormat="1" ht="15.6">
      <c r="A428" s="29" t="s">
        <v>129</v>
      </c>
      <c r="B428" s="25" t="s">
        <v>55</v>
      </c>
      <c r="C428" s="48" t="s">
        <v>75</v>
      </c>
      <c r="D428" s="48" t="s">
        <v>350</v>
      </c>
      <c r="E428" s="25" t="s">
        <v>142</v>
      </c>
      <c r="F428" s="39">
        <v>0</v>
      </c>
      <c r="G428" s="39">
        <v>0</v>
      </c>
      <c r="H428" s="39">
        <v>0</v>
      </c>
      <c r="I428" s="39">
        <f t="shared" si="277"/>
        <v>0</v>
      </c>
      <c r="J428" s="40" t="e">
        <f t="shared" si="278"/>
        <v>#DIV/0!</v>
      </c>
      <c r="K428" s="39"/>
      <c r="L428" s="39" t="e">
        <f t="shared" si="279"/>
        <v>#DIV/0!</v>
      </c>
      <c r="M428" s="39"/>
    </row>
    <row r="429" spans="1:13" s="1" customFormat="1" ht="46.8">
      <c r="A429" s="18" t="s">
        <v>124</v>
      </c>
      <c r="B429" s="25" t="s">
        <v>55</v>
      </c>
      <c r="C429" s="48" t="s">
        <v>75</v>
      </c>
      <c r="D429" s="25" t="s">
        <v>351</v>
      </c>
      <c r="E429" s="25" t="s">
        <v>27</v>
      </c>
      <c r="F429" s="39">
        <f>F430</f>
        <v>0</v>
      </c>
      <c r="G429" s="39">
        <f t="shared" ref="G429:H429" si="307">G430</f>
        <v>0</v>
      </c>
      <c r="H429" s="39">
        <f t="shared" si="307"/>
        <v>0</v>
      </c>
      <c r="I429" s="39">
        <f t="shared" si="277"/>
        <v>0</v>
      </c>
      <c r="J429" s="40" t="e">
        <f t="shared" si="278"/>
        <v>#DIV/0!</v>
      </c>
      <c r="K429" s="39"/>
      <c r="L429" s="39" t="e">
        <f t="shared" si="279"/>
        <v>#DIV/0!</v>
      </c>
      <c r="M429" s="39"/>
    </row>
    <row r="430" spans="1:13" s="1" customFormat="1" ht="31.2">
      <c r="A430" s="29" t="s">
        <v>125</v>
      </c>
      <c r="B430" s="25" t="s">
        <v>55</v>
      </c>
      <c r="C430" s="48" t="s">
        <v>75</v>
      </c>
      <c r="D430" s="25" t="s">
        <v>351</v>
      </c>
      <c r="E430" s="25" t="s">
        <v>126</v>
      </c>
      <c r="F430" s="39">
        <v>0</v>
      </c>
      <c r="G430" s="39">
        <v>0</v>
      </c>
      <c r="H430" s="39">
        <v>0</v>
      </c>
      <c r="I430" s="39">
        <f t="shared" si="277"/>
        <v>0</v>
      </c>
      <c r="J430" s="40" t="e">
        <f t="shared" si="278"/>
        <v>#DIV/0!</v>
      </c>
      <c r="K430" s="39"/>
      <c r="L430" s="39" t="e">
        <f t="shared" si="279"/>
        <v>#DIV/0!</v>
      </c>
      <c r="M430" s="39"/>
    </row>
    <row r="431" spans="1:13" s="1" customFormat="1" ht="78">
      <c r="A431" s="29" t="s">
        <v>355</v>
      </c>
      <c r="B431" s="25" t="s">
        <v>55</v>
      </c>
      <c r="C431" s="25" t="s">
        <v>75</v>
      </c>
      <c r="D431" s="63" t="s">
        <v>353</v>
      </c>
      <c r="E431" s="25" t="s">
        <v>27</v>
      </c>
      <c r="F431" s="26">
        <f>F432</f>
        <v>3084887.01</v>
      </c>
      <c r="G431" s="26">
        <f t="shared" ref="G431:H432" si="308">G432</f>
        <v>2450467.4900000002</v>
      </c>
      <c r="H431" s="26">
        <f t="shared" si="308"/>
        <v>2450467.4900000002</v>
      </c>
      <c r="I431" s="26">
        <f t="shared" si="277"/>
        <v>0</v>
      </c>
      <c r="J431" s="27">
        <f t="shared" si="278"/>
        <v>79.430000000000007</v>
      </c>
      <c r="K431" s="26"/>
      <c r="L431" s="26">
        <f t="shared" si="279"/>
        <v>100</v>
      </c>
      <c r="M431" s="26"/>
    </row>
    <row r="432" spans="1:13" s="1" customFormat="1" ht="62.4">
      <c r="A432" s="29" t="s">
        <v>508</v>
      </c>
      <c r="B432" s="25" t="s">
        <v>55</v>
      </c>
      <c r="C432" s="25" t="s">
        <v>75</v>
      </c>
      <c r="D432" s="63" t="s">
        <v>352</v>
      </c>
      <c r="E432" s="25" t="s">
        <v>27</v>
      </c>
      <c r="F432" s="26">
        <f>F433</f>
        <v>3084887.01</v>
      </c>
      <c r="G432" s="26">
        <f t="shared" si="308"/>
        <v>2450467.4900000002</v>
      </c>
      <c r="H432" s="26">
        <f t="shared" si="308"/>
        <v>2450467.4900000002</v>
      </c>
      <c r="I432" s="26">
        <f t="shared" si="277"/>
        <v>0</v>
      </c>
      <c r="J432" s="27">
        <f t="shared" si="278"/>
        <v>79.430000000000007</v>
      </c>
      <c r="K432" s="26"/>
      <c r="L432" s="26">
        <f t="shared" si="279"/>
        <v>100</v>
      </c>
      <c r="M432" s="26"/>
    </row>
    <row r="433" spans="1:13" s="1" customFormat="1" ht="62.4">
      <c r="A433" s="29" t="s">
        <v>354</v>
      </c>
      <c r="B433" s="25" t="s">
        <v>55</v>
      </c>
      <c r="C433" s="25" t="s">
        <v>75</v>
      </c>
      <c r="D433" s="63" t="s">
        <v>272</v>
      </c>
      <c r="E433" s="25" t="s">
        <v>27</v>
      </c>
      <c r="F433" s="26">
        <f>F434+F436+F438</f>
        <v>3084887.01</v>
      </c>
      <c r="G433" s="26">
        <f t="shared" ref="G433:H433" si="309">G434+G436+G438</f>
        <v>2450467.4900000002</v>
      </c>
      <c r="H433" s="26">
        <f t="shared" si="309"/>
        <v>2450467.4900000002</v>
      </c>
      <c r="I433" s="26">
        <f t="shared" si="277"/>
        <v>0</v>
      </c>
      <c r="J433" s="27">
        <f t="shared" si="278"/>
        <v>79.430000000000007</v>
      </c>
      <c r="K433" s="26"/>
      <c r="L433" s="26">
        <f t="shared" si="279"/>
        <v>100</v>
      </c>
      <c r="M433" s="26"/>
    </row>
    <row r="434" spans="1:13" s="1" customFormat="1" ht="78">
      <c r="A434" s="16" t="s">
        <v>270</v>
      </c>
      <c r="B434" s="25" t="s">
        <v>55</v>
      </c>
      <c r="C434" s="25" t="s">
        <v>75</v>
      </c>
      <c r="D434" s="63" t="s">
        <v>271</v>
      </c>
      <c r="E434" s="25" t="s">
        <v>27</v>
      </c>
      <c r="F434" s="26">
        <f>F435</f>
        <v>2929692.66</v>
      </c>
      <c r="G434" s="26">
        <f t="shared" ref="G434:H434" si="310">G435</f>
        <v>2262383.6</v>
      </c>
      <c r="H434" s="26">
        <f t="shared" si="310"/>
        <v>2262383.6</v>
      </c>
      <c r="I434" s="26">
        <f t="shared" si="277"/>
        <v>0</v>
      </c>
      <c r="J434" s="27">
        <f t="shared" si="278"/>
        <v>77.22</v>
      </c>
      <c r="K434" s="26"/>
      <c r="L434" s="26">
        <f t="shared" si="279"/>
        <v>100</v>
      </c>
      <c r="M434" s="26"/>
    </row>
    <row r="435" spans="1:13" s="1" customFormat="1" ht="140.4">
      <c r="A435" s="29" t="s">
        <v>125</v>
      </c>
      <c r="B435" s="25" t="s">
        <v>55</v>
      </c>
      <c r="C435" s="25" t="s">
        <v>75</v>
      </c>
      <c r="D435" s="63" t="s">
        <v>271</v>
      </c>
      <c r="E435" s="25" t="s">
        <v>126</v>
      </c>
      <c r="F435" s="26">
        <f>2929692.66</f>
        <v>2929692.66</v>
      </c>
      <c r="G435" s="26">
        <f t="shared" ref="G435:H435" si="311">2929692.66-667309.06</f>
        <v>2262383.6</v>
      </c>
      <c r="H435" s="26">
        <f t="shared" si="311"/>
        <v>2262383.6</v>
      </c>
      <c r="I435" s="26">
        <f t="shared" si="277"/>
        <v>0</v>
      </c>
      <c r="J435" s="27">
        <f t="shared" si="278"/>
        <v>77.22</v>
      </c>
      <c r="K435" s="38" t="s">
        <v>598</v>
      </c>
      <c r="L435" s="26">
        <f t="shared" si="279"/>
        <v>100</v>
      </c>
      <c r="M435" s="26"/>
    </row>
    <row r="436" spans="1:13" s="1" customFormat="1" ht="62.4">
      <c r="A436" s="29" t="s">
        <v>498</v>
      </c>
      <c r="B436" s="25" t="s">
        <v>55</v>
      </c>
      <c r="C436" s="25" t="s">
        <v>75</v>
      </c>
      <c r="D436" s="63" t="s">
        <v>271</v>
      </c>
      <c r="E436" s="25" t="s">
        <v>27</v>
      </c>
      <c r="F436" s="26">
        <f>F437</f>
        <v>154194.35</v>
      </c>
      <c r="G436" s="26">
        <f t="shared" ref="G436:H436" si="312">G437</f>
        <v>69970.63</v>
      </c>
      <c r="H436" s="26">
        <f t="shared" si="312"/>
        <v>69970.63</v>
      </c>
      <c r="I436" s="26">
        <f t="shared" si="277"/>
        <v>0</v>
      </c>
      <c r="J436" s="27">
        <f t="shared" si="278"/>
        <v>45.38</v>
      </c>
      <c r="K436" s="26"/>
      <c r="L436" s="26">
        <f t="shared" si="279"/>
        <v>100</v>
      </c>
      <c r="M436" s="26"/>
    </row>
    <row r="437" spans="1:13" s="1" customFormat="1" ht="140.4">
      <c r="A437" s="29" t="s">
        <v>125</v>
      </c>
      <c r="B437" s="25" t="s">
        <v>55</v>
      </c>
      <c r="C437" s="25" t="s">
        <v>75</v>
      </c>
      <c r="D437" s="63" t="s">
        <v>271</v>
      </c>
      <c r="E437" s="25" t="s">
        <v>126</v>
      </c>
      <c r="F437" s="26">
        <f>154194.35</f>
        <v>154194.35</v>
      </c>
      <c r="G437" s="26">
        <f t="shared" ref="G437:H437" si="313">154194.35-84223.72</f>
        <v>69970.63</v>
      </c>
      <c r="H437" s="26">
        <f t="shared" si="313"/>
        <v>69970.63</v>
      </c>
      <c r="I437" s="26">
        <f t="shared" si="277"/>
        <v>0</v>
      </c>
      <c r="J437" s="27">
        <f t="shared" si="278"/>
        <v>45.38</v>
      </c>
      <c r="K437" s="38" t="s">
        <v>598</v>
      </c>
      <c r="L437" s="26">
        <f t="shared" si="279"/>
        <v>100</v>
      </c>
      <c r="M437" s="26"/>
    </row>
    <row r="438" spans="1:13" s="1" customFormat="1" ht="31.2">
      <c r="A438" s="29" t="s">
        <v>269</v>
      </c>
      <c r="B438" s="25" t="s">
        <v>55</v>
      </c>
      <c r="C438" s="25" t="s">
        <v>75</v>
      </c>
      <c r="D438" s="63" t="s">
        <v>497</v>
      </c>
      <c r="E438" s="25" t="s">
        <v>27</v>
      </c>
      <c r="F438" s="26">
        <f>F439</f>
        <v>1000</v>
      </c>
      <c r="G438" s="26">
        <f t="shared" ref="G438:H438" si="314">G439</f>
        <v>118113.26</v>
      </c>
      <c r="H438" s="26">
        <f t="shared" si="314"/>
        <v>118113.26</v>
      </c>
      <c r="I438" s="26">
        <f t="shared" si="277"/>
        <v>0</v>
      </c>
      <c r="J438" s="27">
        <f t="shared" si="278"/>
        <v>11811.33</v>
      </c>
      <c r="K438" s="26"/>
      <c r="L438" s="26">
        <f t="shared" si="279"/>
        <v>100</v>
      </c>
      <c r="M438" s="26"/>
    </row>
    <row r="439" spans="1:13" s="1" customFormat="1" ht="31.2">
      <c r="A439" s="29" t="s">
        <v>125</v>
      </c>
      <c r="B439" s="25" t="s">
        <v>55</v>
      </c>
      <c r="C439" s="25" t="s">
        <v>75</v>
      </c>
      <c r="D439" s="63" t="s">
        <v>497</v>
      </c>
      <c r="E439" s="25" t="s">
        <v>126</v>
      </c>
      <c r="F439" s="26">
        <f>1000</f>
        <v>1000</v>
      </c>
      <c r="G439" s="26">
        <f t="shared" ref="G439:H439" si="315">1000+117113.26</f>
        <v>118113.26</v>
      </c>
      <c r="H439" s="26">
        <f t="shared" si="315"/>
        <v>118113.26</v>
      </c>
      <c r="I439" s="26">
        <f t="shared" si="277"/>
        <v>0</v>
      </c>
      <c r="J439" s="27">
        <f t="shared" si="278"/>
        <v>11811.33</v>
      </c>
      <c r="K439" s="26"/>
      <c r="L439" s="26">
        <f t="shared" si="279"/>
        <v>100</v>
      </c>
      <c r="M439" s="26"/>
    </row>
    <row r="440" spans="1:13" s="2" customFormat="1" ht="46.8">
      <c r="A440" s="21" t="s">
        <v>518</v>
      </c>
      <c r="B440" s="21">
        <v>995</v>
      </c>
      <c r="C440" s="22" t="s">
        <v>28</v>
      </c>
      <c r="D440" s="22" t="s">
        <v>154</v>
      </c>
      <c r="E440" s="22" t="s">
        <v>27</v>
      </c>
      <c r="F440" s="30">
        <f>F441+F529</f>
        <v>721414822.22000003</v>
      </c>
      <c r="G440" s="30">
        <f t="shared" ref="G440:H440" si="316">G441+G529</f>
        <v>704125633.04999995</v>
      </c>
      <c r="H440" s="30">
        <f t="shared" si="316"/>
        <v>704034966.24000001</v>
      </c>
      <c r="I440" s="30">
        <f t="shared" si="277"/>
        <v>90666.81</v>
      </c>
      <c r="J440" s="31">
        <f t="shared" si="278"/>
        <v>97.59</v>
      </c>
      <c r="K440" s="30"/>
      <c r="L440" s="30">
        <f t="shared" si="279"/>
        <v>99.99</v>
      </c>
      <c r="M440" s="30"/>
    </row>
    <row r="441" spans="1:13" s="2" customFormat="1" ht="15.6">
      <c r="A441" s="21" t="s">
        <v>32</v>
      </c>
      <c r="B441" s="22" t="s">
        <v>63</v>
      </c>
      <c r="C441" s="22" t="s">
        <v>46</v>
      </c>
      <c r="D441" s="22" t="s">
        <v>154</v>
      </c>
      <c r="E441" s="77" t="s">
        <v>27</v>
      </c>
      <c r="F441" s="30">
        <f>F442+F460+F503+F509+F518</f>
        <v>711202310.22000003</v>
      </c>
      <c r="G441" s="30">
        <f t="shared" ref="G441:H441" si="317">G442+G460+G503+G509+G518</f>
        <v>698727108.04999995</v>
      </c>
      <c r="H441" s="30">
        <f t="shared" si="317"/>
        <v>698674944.10000002</v>
      </c>
      <c r="I441" s="30">
        <f t="shared" si="277"/>
        <v>52163.95</v>
      </c>
      <c r="J441" s="31">
        <f t="shared" si="278"/>
        <v>98.24</v>
      </c>
      <c r="K441" s="30"/>
      <c r="L441" s="30">
        <f t="shared" si="279"/>
        <v>99.99</v>
      </c>
      <c r="M441" s="30"/>
    </row>
    <row r="442" spans="1:13" s="2" customFormat="1" ht="15.6">
      <c r="A442" s="18" t="s">
        <v>39</v>
      </c>
      <c r="B442" s="25" t="s">
        <v>63</v>
      </c>
      <c r="C442" s="25" t="s">
        <v>47</v>
      </c>
      <c r="D442" s="25" t="s">
        <v>154</v>
      </c>
      <c r="E442" s="48" t="s">
        <v>27</v>
      </c>
      <c r="F442" s="26">
        <f t="shared" ref="F442:H443" si="318">F443</f>
        <v>186071010.91</v>
      </c>
      <c r="G442" s="26">
        <f t="shared" si="318"/>
        <v>190303515</v>
      </c>
      <c r="H442" s="26">
        <f t="shared" si="318"/>
        <v>190303305</v>
      </c>
      <c r="I442" s="26">
        <f t="shared" si="277"/>
        <v>210</v>
      </c>
      <c r="J442" s="27">
        <f t="shared" si="278"/>
        <v>102.27</v>
      </c>
      <c r="K442" s="26"/>
      <c r="L442" s="26">
        <f t="shared" si="279"/>
        <v>100</v>
      </c>
      <c r="M442" s="26"/>
    </row>
    <row r="443" spans="1:13" s="2" customFormat="1" ht="46.8">
      <c r="A443" s="18" t="s">
        <v>505</v>
      </c>
      <c r="B443" s="25" t="s">
        <v>63</v>
      </c>
      <c r="C443" s="25" t="s">
        <v>47</v>
      </c>
      <c r="D443" s="25" t="s">
        <v>0</v>
      </c>
      <c r="E443" s="48" t="s">
        <v>27</v>
      </c>
      <c r="F443" s="26">
        <f>F444</f>
        <v>186071010.91</v>
      </c>
      <c r="G443" s="26">
        <f t="shared" si="318"/>
        <v>190303515</v>
      </c>
      <c r="H443" s="26">
        <f t="shared" si="318"/>
        <v>190303305</v>
      </c>
      <c r="I443" s="26">
        <f t="shared" si="277"/>
        <v>210</v>
      </c>
      <c r="J443" s="27">
        <f t="shared" si="278"/>
        <v>102.27</v>
      </c>
      <c r="K443" s="26"/>
      <c r="L443" s="26">
        <f t="shared" si="279"/>
        <v>100</v>
      </c>
      <c r="M443" s="26"/>
    </row>
    <row r="444" spans="1:13" s="2" customFormat="1" ht="31.2">
      <c r="A444" s="18" t="s">
        <v>310</v>
      </c>
      <c r="B444" s="25" t="s">
        <v>63</v>
      </c>
      <c r="C444" s="25" t="s">
        <v>47</v>
      </c>
      <c r="D444" s="25" t="s">
        <v>18</v>
      </c>
      <c r="E444" s="48" t="s">
        <v>27</v>
      </c>
      <c r="F444" s="26">
        <f>F445+F452+F455</f>
        <v>186071010.91</v>
      </c>
      <c r="G444" s="26">
        <f t="shared" ref="G444:H444" si="319">G445+G452+G455</f>
        <v>190303515</v>
      </c>
      <c r="H444" s="26">
        <f t="shared" si="319"/>
        <v>190303305</v>
      </c>
      <c r="I444" s="26">
        <f t="shared" si="277"/>
        <v>210</v>
      </c>
      <c r="J444" s="27">
        <f t="shared" si="278"/>
        <v>102.27</v>
      </c>
      <c r="K444" s="26"/>
      <c r="L444" s="26">
        <f t="shared" si="279"/>
        <v>100</v>
      </c>
      <c r="M444" s="26"/>
    </row>
    <row r="445" spans="1:13" s="1" customFormat="1" ht="31.2">
      <c r="A445" s="78" t="s">
        <v>234</v>
      </c>
      <c r="B445" s="25" t="s">
        <v>63</v>
      </c>
      <c r="C445" s="25" t="s">
        <v>47</v>
      </c>
      <c r="D445" s="25" t="s">
        <v>235</v>
      </c>
      <c r="E445" s="48" t="s">
        <v>27</v>
      </c>
      <c r="F445" s="26">
        <f>F446+F448+F450</f>
        <v>185971010.91</v>
      </c>
      <c r="G445" s="26">
        <f t="shared" ref="G445:H445" si="320">G446+G448+G450</f>
        <v>190303515</v>
      </c>
      <c r="H445" s="26">
        <f t="shared" si="320"/>
        <v>190303305</v>
      </c>
      <c r="I445" s="26">
        <f t="shared" si="277"/>
        <v>210</v>
      </c>
      <c r="J445" s="27">
        <f t="shared" si="278"/>
        <v>102.33</v>
      </c>
      <c r="K445" s="26"/>
      <c r="L445" s="26">
        <f t="shared" si="279"/>
        <v>100</v>
      </c>
      <c r="M445" s="26"/>
    </row>
    <row r="446" spans="1:13" s="2" customFormat="1" ht="46.8">
      <c r="A446" s="18" t="s">
        <v>119</v>
      </c>
      <c r="B446" s="25" t="s">
        <v>63</v>
      </c>
      <c r="C446" s="25" t="s">
        <v>47</v>
      </c>
      <c r="D446" s="25" t="s">
        <v>231</v>
      </c>
      <c r="E446" s="25" t="s">
        <v>27</v>
      </c>
      <c r="F446" s="39">
        <f>F447</f>
        <v>105315775.91</v>
      </c>
      <c r="G446" s="39">
        <f t="shared" ref="G446:H446" si="321">G447</f>
        <v>99393735</v>
      </c>
      <c r="H446" s="39">
        <f t="shared" si="321"/>
        <v>99393735</v>
      </c>
      <c r="I446" s="39">
        <f t="shared" si="277"/>
        <v>0</v>
      </c>
      <c r="J446" s="40">
        <f t="shared" si="278"/>
        <v>94.38</v>
      </c>
      <c r="K446" s="39"/>
      <c r="L446" s="39">
        <f t="shared" si="279"/>
        <v>100</v>
      </c>
      <c r="M446" s="39"/>
    </row>
    <row r="447" spans="1:13" s="2" customFormat="1" ht="15.6">
      <c r="A447" s="18" t="s">
        <v>138</v>
      </c>
      <c r="B447" s="25" t="s">
        <v>63</v>
      </c>
      <c r="C447" s="25" t="s">
        <v>47</v>
      </c>
      <c r="D447" s="25" t="s">
        <v>231</v>
      </c>
      <c r="E447" s="25" t="s">
        <v>139</v>
      </c>
      <c r="F447" s="39">
        <f>105315775.91</f>
        <v>105315775.91</v>
      </c>
      <c r="G447" s="39">
        <f t="shared" ref="G447:H447" si="322">105315775.91-1300000-4622040.91</f>
        <v>99393735</v>
      </c>
      <c r="H447" s="39">
        <f t="shared" si="322"/>
        <v>99393735</v>
      </c>
      <c r="I447" s="39">
        <f t="shared" si="277"/>
        <v>0</v>
      </c>
      <c r="J447" s="40">
        <f t="shared" si="278"/>
        <v>94.38</v>
      </c>
      <c r="K447" s="39"/>
      <c r="L447" s="39">
        <f t="shared" si="279"/>
        <v>100</v>
      </c>
      <c r="M447" s="39"/>
    </row>
    <row r="448" spans="1:13" s="2" customFormat="1" ht="93.6">
      <c r="A448" s="18" t="s">
        <v>123</v>
      </c>
      <c r="B448" s="25" t="s">
        <v>63</v>
      </c>
      <c r="C448" s="25" t="s">
        <v>47</v>
      </c>
      <c r="D448" s="25" t="s">
        <v>232</v>
      </c>
      <c r="E448" s="25" t="s">
        <v>27</v>
      </c>
      <c r="F448" s="39">
        <f>F449</f>
        <v>453000</v>
      </c>
      <c r="G448" s="39">
        <f t="shared" ref="G448:H448" si="323">G449</f>
        <v>1876550</v>
      </c>
      <c r="H448" s="39">
        <f t="shared" si="323"/>
        <v>1876340</v>
      </c>
      <c r="I448" s="39">
        <f t="shared" si="277"/>
        <v>210</v>
      </c>
      <c r="J448" s="40">
        <f t="shared" si="278"/>
        <v>414.2</v>
      </c>
      <c r="K448" s="39"/>
      <c r="L448" s="39">
        <f t="shared" si="279"/>
        <v>99.99</v>
      </c>
      <c r="M448" s="39"/>
    </row>
    <row r="449" spans="1:13" s="2" customFormat="1" ht="15.6">
      <c r="A449" s="18" t="s">
        <v>138</v>
      </c>
      <c r="B449" s="25" t="s">
        <v>63</v>
      </c>
      <c r="C449" s="25" t="s">
        <v>47</v>
      </c>
      <c r="D449" s="25" t="s">
        <v>232</v>
      </c>
      <c r="E449" s="25" t="s">
        <v>139</v>
      </c>
      <c r="F449" s="39">
        <f>453000</f>
        <v>453000</v>
      </c>
      <c r="G449" s="39">
        <f t="shared" ref="G449" si="324">453000+240000+1013550+170000</f>
        <v>1876550</v>
      </c>
      <c r="H449" s="39">
        <v>1876340</v>
      </c>
      <c r="I449" s="39">
        <f t="shared" si="277"/>
        <v>210</v>
      </c>
      <c r="J449" s="40">
        <f t="shared" si="278"/>
        <v>414.2</v>
      </c>
      <c r="K449" s="39"/>
      <c r="L449" s="39">
        <f t="shared" si="279"/>
        <v>99.99</v>
      </c>
      <c r="M449" s="39"/>
    </row>
    <row r="450" spans="1:13" s="1" customFormat="1" ht="78">
      <c r="A450" s="18" t="s">
        <v>276</v>
      </c>
      <c r="B450" s="25" t="s">
        <v>63</v>
      </c>
      <c r="C450" s="25" t="s">
        <v>47</v>
      </c>
      <c r="D450" s="25" t="s">
        <v>233</v>
      </c>
      <c r="E450" s="25" t="s">
        <v>27</v>
      </c>
      <c r="F450" s="26">
        <f>F451</f>
        <v>80202235</v>
      </c>
      <c r="G450" s="26">
        <f t="shared" ref="G450:H450" si="325">G451</f>
        <v>89033230</v>
      </c>
      <c r="H450" s="26">
        <f t="shared" si="325"/>
        <v>89033230</v>
      </c>
      <c r="I450" s="26">
        <f t="shared" si="277"/>
        <v>0</v>
      </c>
      <c r="J450" s="27">
        <f t="shared" si="278"/>
        <v>111.01</v>
      </c>
      <c r="K450" s="26"/>
      <c r="L450" s="26">
        <f t="shared" si="279"/>
        <v>100</v>
      </c>
      <c r="M450" s="26"/>
    </row>
    <row r="451" spans="1:13" s="1" customFormat="1" ht="140.4">
      <c r="A451" s="18" t="s">
        <v>138</v>
      </c>
      <c r="B451" s="25" t="s">
        <v>63</v>
      </c>
      <c r="C451" s="25" t="s">
        <v>47</v>
      </c>
      <c r="D451" s="25" t="s">
        <v>233</v>
      </c>
      <c r="E451" s="25" t="s">
        <v>139</v>
      </c>
      <c r="F451" s="38">
        <f>80202235</f>
        <v>80202235</v>
      </c>
      <c r="G451" s="38">
        <f t="shared" ref="G451:H451" si="326">80202235+8830995</f>
        <v>89033230</v>
      </c>
      <c r="H451" s="38">
        <f t="shared" si="326"/>
        <v>89033230</v>
      </c>
      <c r="I451" s="38">
        <f t="shared" si="277"/>
        <v>0</v>
      </c>
      <c r="J451" s="50">
        <f t="shared" si="278"/>
        <v>111.01</v>
      </c>
      <c r="K451" s="38" t="s">
        <v>598</v>
      </c>
      <c r="L451" s="38">
        <f t="shared" si="279"/>
        <v>100</v>
      </c>
      <c r="M451" s="38"/>
    </row>
    <row r="452" spans="1:13" s="1" customFormat="1" ht="31.2">
      <c r="A452" s="78" t="s">
        <v>311</v>
      </c>
      <c r="B452" s="25" t="s">
        <v>63</v>
      </c>
      <c r="C452" s="25" t="s">
        <v>47</v>
      </c>
      <c r="D452" s="25" t="s">
        <v>312</v>
      </c>
      <c r="E452" s="48" t="s">
        <v>27</v>
      </c>
      <c r="F452" s="26">
        <f>F453</f>
        <v>0</v>
      </c>
      <c r="G452" s="26">
        <f t="shared" ref="G452:H453" si="327">G453</f>
        <v>0</v>
      </c>
      <c r="H452" s="26">
        <f t="shared" si="327"/>
        <v>0</v>
      </c>
      <c r="I452" s="26">
        <f t="shared" si="277"/>
        <v>0</v>
      </c>
      <c r="J452" s="27" t="e">
        <f t="shared" si="278"/>
        <v>#DIV/0!</v>
      </c>
      <c r="K452" s="26"/>
      <c r="L452" s="26" t="e">
        <f t="shared" si="279"/>
        <v>#DIV/0!</v>
      </c>
      <c r="M452" s="26"/>
    </row>
    <row r="453" spans="1:13" s="1" customFormat="1" ht="78">
      <c r="A453" s="18" t="s">
        <v>292</v>
      </c>
      <c r="B453" s="25" t="s">
        <v>63</v>
      </c>
      <c r="C453" s="25" t="s">
        <v>47</v>
      </c>
      <c r="D453" s="25" t="s">
        <v>293</v>
      </c>
      <c r="E453" s="25" t="s">
        <v>27</v>
      </c>
      <c r="F453" s="39">
        <f>F454</f>
        <v>0</v>
      </c>
      <c r="G453" s="39">
        <f t="shared" si="327"/>
        <v>0</v>
      </c>
      <c r="H453" s="39">
        <f t="shared" si="327"/>
        <v>0</v>
      </c>
      <c r="I453" s="39">
        <f t="shared" si="277"/>
        <v>0</v>
      </c>
      <c r="J453" s="40" t="e">
        <f t="shared" si="278"/>
        <v>#DIV/0!</v>
      </c>
      <c r="K453" s="39"/>
      <c r="L453" s="39" t="e">
        <f t="shared" si="279"/>
        <v>#DIV/0!</v>
      </c>
      <c r="M453" s="39"/>
    </row>
    <row r="454" spans="1:13" s="1" customFormat="1" ht="15.6">
      <c r="A454" s="18" t="s">
        <v>138</v>
      </c>
      <c r="B454" s="25" t="s">
        <v>63</v>
      </c>
      <c r="C454" s="25" t="s">
        <v>47</v>
      </c>
      <c r="D454" s="25" t="s">
        <v>293</v>
      </c>
      <c r="E454" s="25" t="s">
        <v>139</v>
      </c>
      <c r="F454" s="39">
        <v>0</v>
      </c>
      <c r="G454" s="39">
        <v>0</v>
      </c>
      <c r="H454" s="39">
        <v>0</v>
      </c>
      <c r="I454" s="39">
        <f t="shared" si="277"/>
        <v>0</v>
      </c>
      <c r="J454" s="40" t="e">
        <f t="shared" si="278"/>
        <v>#DIV/0!</v>
      </c>
      <c r="K454" s="39"/>
      <c r="L454" s="39" t="e">
        <f t="shared" si="279"/>
        <v>#DIV/0!</v>
      </c>
      <c r="M454" s="39"/>
    </row>
    <row r="455" spans="1:13" s="1" customFormat="1" ht="78">
      <c r="A455" s="78" t="s">
        <v>499</v>
      </c>
      <c r="B455" s="25" t="s">
        <v>63</v>
      </c>
      <c r="C455" s="25" t="s">
        <v>47</v>
      </c>
      <c r="D455" s="25" t="s">
        <v>474</v>
      </c>
      <c r="E455" s="48" t="s">
        <v>27</v>
      </c>
      <c r="F455" s="26">
        <f>F458+F456</f>
        <v>100000</v>
      </c>
      <c r="G455" s="26">
        <f t="shared" ref="G455:H455" si="328">G458+G456</f>
        <v>0</v>
      </c>
      <c r="H455" s="26">
        <f t="shared" si="328"/>
        <v>0</v>
      </c>
      <c r="I455" s="26">
        <f t="shared" si="277"/>
        <v>0</v>
      </c>
      <c r="J455" s="27">
        <f t="shared" si="278"/>
        <v>0</v>
      </c>
      <c r="K455" s="26"/>
      <c r="L455" s="26" t="e">
        <f t="shared" si="279"/>
        <v>#DIV/0!</v>
      </c>
      <c r="M455" s="26"/>
    </row>
    <row r="456" spans="1:13" s="1" customFormat="1" ht="109.2">
      <c r="A456" s="18" t="s">
        <v>565</v>
      </c>
      <c r="B456" s="79" t="s">
        <v>63</v>
      </c>
      <c r="C456" s="25" t="s">
        <v>47</v>
      </c>
      <c r="D456" s="28" t="s">
        <v>475</v>
      </c>
      <c r="E456" s="48" t="s">
        <v>27</v>
      </c>
      <c r="F456" s="39">
        <f>F457</f>
        <v>100000</v>
      </c>
      <c r="G456" s="39">
        <f t="shared" ref="G456:H456" si="329">G457</f>
        <v>0</v>
      </c>
      <c r="H456" s="39">
        <f t="shared" si="329"/>
        <v>0</v>
      </c>
      <c r="I456" s="39">
        <f t="shared" si="277"/>
        <v>0</v>
      </c>
      <c r="J456" s="40">
        <f t="shared" si="278"/>
        <v>0</v>
      </c>
      <c r="K456" s="39"/>
      <c r="L456" s="39" t="e">
        <f t="shared" si="279"/>
        <v>#DIV/0!</v>
      </c>
      <c r="M456" s="39"/>
    </row>
    <row r="457" spans="1:13" s="1" customFormat="1" ht="140.4">
      <c r="A457" s="18" t="s">
        <v>138</v>
      </c>
      <c r="B457" s="25" t="s">
        <v>63</v>
      </c>
      <c r="C457" s="25" t="s">
        <v>47</v>
      </c>
      <c r="D457" s="28" t="s">
        <v>475</v>
      </c>
      <c r="E457" s="48" t="s">
        <v>139</v>
      </c>
      <c r="F457" s="39">
        <f>100000</f>
        <v>100000</v>
      </c>
      <c r="G457" s="39">
        <f t="shared" ref="G457:H457" si="330">100000-100000</f>
        <v>0</v>
      </c>
      <c r="H457" s="39">
        <f t="shared" si="330"/>
        <v>0</v>
      </c>
      <c r="I457" s="39">
        <f t="shared" si="277"/>
        <v>0</v>
      </c>
      <c r="J457" s="40">
        <f t="shared" si="278"/>
        <v>0</v>
      </c>
      <c r="K457" s="15" t="s">
        <v>598</v>
      </c>
      <c r="L457" s="39" t="e">
        <f t="shared" si="279"/>
        <v>#DIV/0!</v>
      </c>
      <c r="M457" s="15" t="s">
        <v>598</v>
      </c>
    </row>
    <row r="458" spans="1:13" s="1" customFormat="1" ht="93.6">
      <c r="A458" s="18" t="s">
        <v>468</v>
      </c>
      <c r="B458" s="79" t="s">
        <v>63</v>
      </c>
      <c r="C458" s="25" t="s">
        <v>47</v>
      </c>
      <c r="D458" s="28" t="s">
        <v>475</v>
      </c>
      <c r="E458" s="48" t="s">
        <v>27</v>
      </c>
      <c r="F458" s="39">
        <f>F459</f>
        <v>0</v>
      </c>
      <c r="G458" s="39">
        <f t="shared" ref="G458:H458" si="331">G459</f>
        <v>0</v>
      </c>
      <c r="H458" s="39">
        <f t="shared" si="331"/>
        <v>0</v>
      </c>
      <c r="I458" s="39">
        <f t="shared" si="277"/>
        <v>0</v>
      </c>
      <c r="J458" s="40" t="e">
        <f t="shared" si="278"/>
        <v>#DIV/0!</v>
      </c>
      <c r="K458" s="39"/>
      <c r="L458" s="39" t="e">
        <f t="shared" si="279"/>
        <v>#DIV/0!</v>
      </c>
      <c r="M458" s="39"/>
    </row>
    <row r="459" spans="1:13" s="1" customFormat="1" ht="140.4">
      <c r="A459" s="18" t="s">
        <v>138</v>
      </c>
      <c r="B459" s="25" t="s">
        <v>63</v>
      </c>
      <c r="C459" s="25" t="s">
        <v>47</v>
      </c>
      <c r="D459" s="28" t="s">
        <v>475</v>
      </c>
      <c r="E459" s="48" t="s">
        <v>139</v>
      </c>
      <c r="F459" s="39">
        <f>100000-100000</f>
        <v>0</v>
      </c>
      <c r="G459" s="39">
        <f t="shared" ref="G459:H459" si="332">100000-100000</f>
        <v>0</v>
      </c>
      <c r="H459" s="39">
        <f t="shared" si="332"/>
        <v>0</v>
      </c>
      <c r="I459" s="39">
        <f t="shared" si="277"/>
        <v>0</v>
      </c>
      <c r="J459" s="40" t="e">
        <f t="shared" si="278"/>
        <v>#DIV/0!</v>
      </c>
      <c r="K459" s="15" t="s">
        <v>598</v>
      </c>
      <c r="L459" s="39" t="e">
        <f t="shared" si="279"/>
        <v>#DIV/0!</v>
      </c>
      <c r="M459" s="15" t="s">
        <v>598</v>
      </c>
    </row>
    <row r="460" spans="1:13" s="1" customFormat="1" ht="15.6">
      <c r="A460" s="18" t="s">
        <v>33</v>
      </c>
      <c r="B460" s="48" t="s">
        <v>63</v>
      </c>
      <c r="C460" s="48" t="s">
        <v>48</v>
      </c>
      <c r="D460" s="48" t="s">
        <v>154</v>
      </c>
      <c r="E460" s="48" t="s">
        <v>27</v>
      </c>
      <c r="F460" s="26">
        <f t="shared" ref="F460:H460" si="333">F461</f>
        <v>469416609.62</v>
      </c>
      <c r="G460" s="26">
        <f t="shared" si="333"/>
        <v>447955193.77999997</v>
      </c>
      <c r="H460" s="26">
        <f t="shared" si="333"/>
        <v>447936578.82999998</v>
      </c>
      <c r="I460" s="26">
        <f t="shared" ref="I460:I523" si="334">$G460-$H460</f>
        <v>18614.95</v>
      </c>
      <c r="J460" s="27">
        <f t="shared" ref="J460:J523" si="335">$H460/$F460*100</f>
        <v>95.42</v>
      </c>
      <c r="K460" s="26"/>
      <c r="L460" s="26">
        <f t="shared" ref="L460:L523" si="336">$H460/$G460*100</f>
        <v>100</v>
      </c>
      <c r="M460" s="26"/>
    </row>
    <row r="461" spans="1:13" s="1" customFormat="1" ht="46.8">
      <c r="A461" s="18" t="s">
        <v>505</v>
      </c>
      <c r="B461" s="48" t="s">
        <v>63</v>
      </c>
      <c r="C461" s="48" t="s">
        <v>48</v>
      </c>
      <c r="D461" s="48" t="s">
        <v>0</v>
      </c>
      <c r="E461" s="48" t="s">
        <v>27</v>
      </c>
      <c r="F461" s="26">
        <f>F462+F499</f>
        <v>469416609.62</v>
      </c>
      <c r="G461" s="26">
        <f t="shared" ref="G461:H461" si="337">G462+G499</f>
        <v>447955193.77999997</v>
      </c>
      <c r="H461" s="26">
        <f t="shared" si="337"/>
        <v>447936578.82999998</v>
      </c>
      <c r="I461" s="26">
        <f t="shared" si="334"/>
        <v>18614.95</v>
      </c>
      <c r="J461" s="27">
        <f t="shared" si="335"/>
        <v>95.42</v>
      </c>
      <c r="K461" s="26"/>
      <c r="L461" s="26">
        <f t="shared" si="336"/>
        <v>100</v>
      </c>
      <c r="M461" s="26"/>
    </row>
    <row r="462" spans="1:13" s="1" customFormat="1" ht="31.2">
      <c r="A462" s="18" t="s">
        <v>509</v>
      </c>
      <c r="B462" s="79" t="s">
        <v>63</v>
      </c>
      <c r="C462" s="25" t="s">
        <v>48</v>
      </c>
      <c r="D462" s="25" t="s">
        <v>20</v>
      </c>
      <c r="E462" s="48" t="s">
        <v>27</v>
      </c>
      <c r="F462" s="26">
        <f>F463+F474+F481+F494</f>
        <v>466819369.51999998</v>
      </c>
      <c r="G462" s="26">
        <f t="shared" ref="G462:H462" si="338">G463+G474+G481+G494</f>
        <v>445813236.98000002</v>
      </c>
      <c r="H462" s="26">
        <f t="shared" si="338"/>
        <v>445794622.02999997</v>
      </c>
      <c r="I462" s="26">
        <f t="shared" si="334"/>
        <v>18614.95</v>
      </c>
      <c r="J462" s="27">
        <f t="shared" si="335"/>
        <v>95.5</v>
      </c>
      <c r="K462" s="26"/>
      <c r="L462" s="26">
        <f t="shared" si="336"/>
        <v>100</v>
      </c>
      <c r="M462" s="26"/>
    </row>
    <row r="463" spans="1:13" s="1" customFormat="1" ht="31.2">
      <c r="A463" s="46" t="s">
        <v>316</v>
      </c>
      <c r="B463" s="25" t="s">
        <v>63</v>
      </c>
      <c r="C463" s="25" t="s">
        <v>48</v>
      </c>
      <c r="D463" s="25" t="s">
        <v>313</v>
      </c>
      <c r="E463" s="48" t="s">
        <v>27</v>
      </c>
      <c r="F463" s="26">
        <f>F466+F468+F470+F472+F464</f>
        <v>385426225.98000002</v>
      </c>
      <c r="G463" s="26">
        <f t="shared" ref="G463:H463" si="339">G466+G468+G470+G472+G464</f>
        <v>421559855.70999998</v>
      </c>
      <c r="H463" s="26">
        <f t="shared" si="339"/>
        <v>421541240.75999999</v>
      </c>
      <c r="I463" s="26">
        <f t="shared" si="334"/>
        <v>18614.95</v>
      </c>
      <c r="J463" s="27">
        <f t="shared" si="335"/>
        <v>109.37</v>
      </c>
      <c r="K463" s="26"/>
      <c r="L463" s="26">
        <f t="shared" si="336"/>
        <v>100</v>
      </c>
      <c r="M463" s="26"/>
    </row>
    <row r="464" spans="1:13" s="1" customFormat="1" ht="171.6">
      <c r="A464" s="16" t="s">
        <v>576</v>
      </c>
      <c r="B464" s="79" t="s">
        <v>63</v>
      </c>
      <c r="C464" s="25" t="s">
        <v>48</v>
      </c>
      <c r="D464" s="25" t="s">
        <v>575</v>
      </c>
      <c r="E464" s="48" t="s">
        <v>27</v>
      </c>
      <c r="F464" s="39">
        <f>F465</f>
        <v>0</v>
      </c>
      <c r="G464" s="39">
        <f t="shared" ref="G464:H464" si="340">G465</f>
        <v>351540</v>
      </c>
      <c r="H464" s="39">
        <f t="shared" si="340"/>
        <v>351540</v>
      </c>
      <c r="I464" s="39">
        <f t="shared" si="334"/>
        <v>0</v>
      </c>
      <c r="J464" s="40" t="e">
        <f t="shared" si="335"/>
        <v>#DIV/0!</v>
      </c>
      <c r="K464" s="39"/>
      <c r="L464" s="39">
        <f t="shared" si="336"/>
        <v>100</v>
      </c>
      <c r="M464" s="39"/>
    </row>
    <row r="465" spans="1:13" s="1" customFormat="1" ht="140.4">
      <c r="A465" s="18" t="s">
        <v>138</v>
      </c>
      <c r="B465" s="79" t="s">
        <v>63</v>
      </c>
      <c r="C465" s="25" t="s">
        <v>48</v>
      </c>
      <c r="D465" s="25" t="s">
        <v>585</v>
      </c>
      <c r="E465" s="48" t="s">
        <v>139</v>
      </c>
      <c r="F465" s="15">
        <v>0</v>
      </c>
      <c r="G465" s="15">
        <v>351540</v>
      </c>
      <c r="H465" s="15">
        <v>351540</v>
      </c>
      <c r="I465" s="15">
        <f t="shared" si="334"/>
        <v>0</v>
      </c>
      <c r="J465" s="52" t="e">
        <f t="shared" si="335"/>
        <v>#DIV/0!</v>
      </c>
      <c r="K465" s="15" t="s">
        <v>598</v>
      </c>
      <c r="L465" s="15">
        <f t="shared" si="336"/>
        <v>100</v>
      </c>
      <c r="M465" s="15"/>
    </row>
    <row r="466" spans="1:13" s="1" customFormat="1" ht="156">
      <c r="A466" s="16" t="s">
        <v>290</v>
      </c>
      <c r="B466" s="79" t="s">
        <v>63</v>
      </c>
      <c r="C466" s="25" t="s">
        <v>48</v>
      </c>
      <c r="D466" s="25" t="s">
        <v>241</v>
      </c>
      <c r="E466" s="48" t="s">
        <v>27</v>
      </c>
      <c r="F466" s="39">
        <f>F467</f>
        <v>23049000</v>
      </c>
      <c r="G466" s="39">
        <f t="shared" ref="G466:H466" si="341">G467</f>
        <v>23858640</v>
      </c>
      <c r="H466" s="39">
        <f t="shared" si="341"/>
        <v>23858640</v>
      </c>
      <c r="I466" s="39">
        <f t="shared" si="334"/>
        <v>0</v>
      </c>
      <c r="J466" s="40">
        <f t="shared" si="335"/>
        <v>103.51</v>
      </c>
      <c r="K466" s="39"/>
      <c r="L466" s="39">
        <f t="shared" si="336"/>
        <v>100</v>
      </c>
      <c r="M466" s="39"/>
    </row>
    <row r="467" spans="1:13" s="1" customFormat="1" ht="15.6">
      <c r="A467" s="18" t="s">
        <v>138</v>
      </c>
      <c r="B467" s="79" t="s">
        <v>63</v>
      </c>
      <c r="C467" s="25" t="s">
        <v>48</v>
      </c>
      <c r="D467" s="25" t="s">
        <v>241</v>
      </c>
      <c r="E467" s="48" t="s">
        <v>139</v>
      </c>
      <c r="F467" s="15">
        <f>23049000</f>
        <v>23049000</v>
      </c>
      <c r="G467" s="15">
        <f t="shared" ref="G467:H467" si="342">23049000-4797000+2808000+6091020-3292380</f>
        <v>23858640</v>
      </c>
      <c r="H467" s="15">
        <f t="shared" si="342"/>
        <v>23858640</v>
      </c>
      <c r="I467" s="15">
        <f t="shared" si="334"/>
        <v>0</v>
      </c>
      <c r="J467" s="52">
        <f t="shared" si="335"/>
        <v>103.51</v>
      </c>
      <c r="K467" s="15"/>
      <c r="L467" s="15">
        <f t="shared" si="336"/>
        <v>100</v>
      </c>
      <c r="M467" s="15"/>
    </row>
    <row r="468" spans="1:13" s="1" customFormat="1" ht="46.8">
      <c r="A468" s="18" t="s">
        <v>119</v>
      </c>
      <c r="B468" s="79" t="s">
        <v>63</v>
      </c>
      <c r="C468" s="25" t="s">
        <v>48</v>
      </c>
      <c r="D468" s="25" t="s">
        <v>228</v>
      </c>
      <c r="E468" s="48" t="s">
        <v>27</v>
      </c>
      <c r="F468" s="39">
        <f>F469</f>
        <v>148390716.28</v>
      </c>
      <c r="G468" s="39">
        <f t="shared" ref="G468:H468" si="343">G469</f>
        <v>144932888.28</v>
      </c>
      <c r="H468" s="39">
        <f t="shared" si="343"/>
        <v>144932888.28</v>
      </c>
      <c r="I468" s="39">
        <f t="shared" si="334"/>
        <v>0</v>
      </c>
      <c r="J468" s="40">
        <f t="shared" si="335"/>
        <v>97.67</v>
      </c>
      <c r="K468" s="39"/>
      <c r="L468" s="39">
        <f t="shared" si="336"/>
        <v>100</v>
      </c>
      <c r="M468" s="39"/>
    </row>
    <row r="469" spans="1:13" s="1" customFormat="1" ht="15.6">
      <c r="A469" s="18" t="s">
        <v>138</v>
      </c>
      <c r="B469" s="25" t="s">
        <v>63</v>
      </c>
      <c r="C469" s="25" t="s">
        <v>48</v>
      </c>
      <c r="D469" s="25" t="s">
        <v>228</v>
      </c>
      <c r="E469" s="48" t="s">
        <v>139</v>
      </c>
      <c r="F469" s="39">
        <f>148390716.28</f>
        <v>148390716.28</v>
      </c>
      <c r="G469" s="39">
        <f t="shared" ref="G469:H469" si="344">148390716.28-3457828</f>
        <v>144932888.28</v>
      </c>
      <c r="H469" s="39">
        <f t="shared" si="344"/>
        <v>144932888.28</v>
      </c>
      <c r="I469" s="39">
        <f t="shared" si="334"/>
        <v>0</v>
      </c>
      <c r="J469" s="40">
        <f t="shared" si="335"/>
        <v>97.67</v>
      </c>
      <c r="K469" s="39"/>
      <c r="L469" s="39">
        <f t="shared" si="336"/>
        <v>100</v>
      </c>
      <c r="M469" s="39"/>
    </row>
    <row r="470" spans="1:13" s="1" customFormat="1" ht="93.6">
      <c r="A470" s="18" t="s">
        <v>123</v>
      </c>
      <c r="B470" s="25" t="s">
        <v>63</v>
      </c>
      <c r="C470" s="25" t="s">
        <v>48</v>
      </c>
      <c r="D470" s="25" t="s">
        <v>229</v>
      </c>
      <c r="E470" s="48" t="s">
        <v>27</v>
      </c>
      <c r="F470" s="39">
        <f>F471</f>
        <v>10097827.699999999</v>
      </c>
      <c r="G470" s="39">
        <f t="shared" ref="G470:H470" si="345">G471</f>
        <v>37649104.43</v>
      </c>
      <c r="H470" s="39">
        <f t="shared" si="345"/>
        <v>37630489.479999997</v>
      </c>
      <c r="I470" s="39">
        <f t="shared" si="334"/>
        <v>18614.95</v>
      </c>
      <c r="J470" s="40">
        <f t="shared" si="335"/>
        <v>372.66</v>
      </c>
      <c r="K470" s="39"/>
      <c r="L470" s="39">
        <f t="shared" si="336"/>
        <v>99.95</v>
      </c>
      <c r="M470" s="39"/>
    </row>
    <row r="471" spans="1:13" s="1" customFormat="1" ht="15.6">
      <c r="A471" s="18" t="s">
        <v>138</v>
      </c>
      <c r="B471" s="25" t="s">
        <v>63</v>
      </c>
      <c r="C471" s="25" t="s">
        <v>48</v>
      </c>
      <c r="D471" s="25" t="s">
        <v>229</v>
      </c>
      <c r="E471" s="48" t="s">
        <v>139</v>
      </c>
      <c r="F471" s="39">
        <f>10097827.7</f>
        <v>10097827.699999999</v>
      </c>
      <c r="G471" s="39">
        <f t="shared" ref="G471" si="346">10097827.7+17684530+5540211.6-212387.45+4538922.58</f>
        <v>37649104.43</v>
      </c>
      <c r="H471" s="39">
        <v>37630489.479999997</v>
      </c>
      <c r="I471" s="39">
        <f t="shared" si="334"/>
        <v>18614.95</v>
      </c>
      <c r="J471" s="40">
        <f t="shared" si="335"/>
        <v>372.66</v>
      </c>
      <c r="K471" s="39"/>
      <c r="L471" s="39">
        <f t="shared" si="336"/>
        <v>99.95</v>
      </c>
      <c r="M471" s="39"/>
    </row>
    <row r="472" spans="1:13" s="1" customFormat="1" ht="109.2">
      <c r="A472" s="80" t="s">
        <v>275</v>
      </c>
      <c r="B472" s="25" t="s">
        <v>63</v>
      </c>
      <c r="C472" s="25" t="s">
        <v>48</v>
      </c>
      <c r="D472" s="25" t="s">
        <v>230</v>
      </c>
      <c r="E472" s="48" t="s">
        <v>27</v>
      </c>
      <c r="F472" s="26">
        <f>F473</f>
        <v>203888682</v>
      </c>
      <c r="G472" s="26">
        <f t="shared" ref="G472:H472" si="347">G473</f>
        <v>214767683</v>
      </c>
      <c r="H472" s="26">
        <f t="shared" si="347"/>
        <v>214767683</v>
      </c>
      <c r="I472" s="26">
        <f t="shared" si="334"/>
        <v>0</v>
      </c>
      <c r="J472" s="27">
        <f t="shared" si="335"/>
        <v>105.34</v>
      </c>
      <c r="K472" s="26"/>
      <c r="L472" s="26">
        <f t="shared" si="336"/>
        <v>100</v>
      </c>
      <c r="M472" s="26"/>
    </row>
    <row r="473" spans="1:13" s="1" customFormat="1" ht="140.4">
      <c r="A473" s="18" t="s">
        <v>138</v>
      </c>
      <c r="B473" s="25" t="s">
        <v>63</v>
      </c>
      <c r="C473" s="25" t="s">
        <v>48</v>
      </c>
      <c r="D473" s="25" t="s">
        <v>230</v>
      </c>
      <c r="E473" s="48" t="s">
        <v>139</v>
      </c>
      <c r="F473" s="38">
        <f>203888682</f>
        <v>203888682</v>
      </c>
      <c r="G473" s="38">
        <f t="shared" ref="G473:H473" si="348">203888682+10879001</f>
        <v>214767683</v>
      </c>
      <c r="H473" s="38">
        <f t="shared" si="348"/>
        <v>214767683</v>
      </c>
      <c r="I473" s="38">
        <f t="shared" si="334"/>
        <v>0</v>
      </c>
      <c r="J473" s="50">
        <f t="shared" si="335"/>
        <v>105.34</v>
      </c>
      <c r="K473" s="38" t="s">
        <v>598</v>
      </c>
      <c r="L473" s="38">
        <f t="shared" si="336"/>
        <v>100</v>
      </c>
      <c r="M473" s="38"/>
    </row>
    <row r="474" spans="1:13" s="1" customFormat="1" ht="31.2">
      <c r="A474" s="78" t="s">
        <v>315</v>
      </c>
      <c r="B474" s="25" t="s">
        <v>63</v>
      </c>
      <c r="C474" s="25" t="s">
        <v>48</v>
      </c>
      <c r="D474" s="25" t="s">
        <v>314</v>
      </c>
      <c r="E474" s="48" t="s">
        <v>27</v>
      </c>
      <c r="F474" s="26">
        <f>F475+F477+F479</f>
        <v>23260100</v>
      </c>
      <c r="G474" s="26">
        <f t="shared" ref="G474:H474" si="349">G475+G477+G479</f>
        <v>21603192</v>
      </c>
      <c r="H474" s="26">
        <f t="shared" si="349"/>
        <v>21603192</v>
      </c>
      <c r="I474" s="26">
        <f t="shared" si="334"/>
        <v>0</v>
      </c>
      <c r="J474" s="27">
        <f t="shared" si="335"/>
        <v>92.88</v>
      </c>
      <c r="K474" s="26"/>
      <c r="L474" s="26">
        <f t="shared" si="336"/>
        <v>100</v>
      </c>
      <c r="M474" s="26"/>
    </row>
    <row r="475" spans="1:13" s="1" customFormat="1" ht="31.2">
      <c r="A475" s="18" t="s">
        <v>320</v>
      </c>
      <c r="B475" s="25" t="s">
        <v>63</v>
      </c>
      <c r="C475" s="25" t="s">
        <v>48</v>
      </c>
      <c r="D475" s="47" t="s">
        <v>319</v>
      </c>
      <c r="E475" s="48" t="s">
        <v>27</v>
      </c>
      <c r="F475" s="26">
        <f>F476</f>
        <v>475000</v>
      </c>
      <c r="G475" s="26">
        <f t="shared" ref="G475:H475" si="350">G476</f>
        <v>762705</v>
      </c>
      <c r="H475" s="26">
        <f t="shared" si="350"/>
        <v>762705</v>
      </c>
      <c r="I475" s="26">
        <f t="shared" si="334"/>
        <v>0</v>
      </c>
      <c r="J475" s="27">
        <f t="shared" si="335"/>
        <v>160.57</v>
      </c>
      <c r="K475" s="26"/>
      <c r="L475" s="26">
        <f t="shared" si="336"/>
        <v>100</v>
      </c>
      <c r="M475" s="26"/>
    </row>
    <row r="476" spans="1:13" s="1" customFormat="1" ht="15.6">
      <c r="A476" s="18" t="s">
        <v>138</v>
      </c>
      <c r="B476" s="25" t="s">
        <v>63</v>
      </c>
      <c r="C476" s="25" t="s">
        <v>48</v>
      </c>
      <c r="D476" s="47" t="s">
        <v>319</v>
      </c>
      <c r="E476" s="48" t="s">
        <v>139</v>
      </c>
      <c r="F476" s="55">
        <f>475000</f>
        <v>475000</v>
      </c>
      <c r="G476" s="55">
        <f t="shared" ref="G476:H476" si="351">475000+287705</f>
        <v>762705</v>
      </c>
      <c r="H476" s="55">
        <f t="shared" si="351"/>
        <v>762705</v>
      </c>
      <c r="I476" s="55">
        <f t="shared" si="334"/>
        <v>0</v>
      </c>
      <c r="J476" s="56">
        <f t="shared" si="335"/>
        <v>160.57</v>
      </c>
      <c r="K476" s="15"/>
      <c r="L476" s="15">
        <f t="shared" si="336"/>
        <v>100</v>
      </c>
      <c r="M476" s="15"/>
    </row>
    <row r="477" spans="1:13" s="1" customFormat="1" ht="62.4">
      <c r="A477" s="18" t="s">
        <v>278</v>
      </c>
      <c r="B477" s="25" t="s">
        <v>63</v>
      </c>
      <c r="C477" s="25" t="s">
        <v>48</v>
      </c>
      <c r="D477" s="47" t="s">
        <v>317</v>
      </c>
      <c r="E477" s="48" t="s">
        <v>27</v>
      </c>
      <c r="F477" s="26">
        <f>F478</f>
        <v>6673350</v>
      </c>
      <c r="G477" s="26">
        <f t="shared" ref="G477:H477" si="352">G478</f>
        <v>6047087</v>
      </c>
      <c r="H477" s="26">
        <f t="shared" si="352"/>
        <v>6047087</v>
      </c>
      <c r="I477" s="26">
        <f t="shared" si="334"/>
        <v>0</v>
      </c>
      <c r="J477" s="27">
        <f t="shared" si="335"/>
        <v>90.62</v>
      </c>
      <c r="K477" s="26"/>
      <c r="L477" s="26">
        <f t="shared" si="336"/>
        <v>100</v>
      </c>
      <c r="M477" s="26"/>
    </row>
    <row r="478" spans="1:13" s="1" customFormat="1" ht="140.4">
      <c r="A478" s="18" t="s">
        <v>138</v>
      </c>
      <c r="B478" s="25" t="s">
        <v>63</v>
      </c>
      <c r="C478" s="25" t="s">
        <v>48</v>
      </c>
      <c r="D478" s="47" t="s">
        <v>317</v>
      </c>
      <c r="E478" s="48" t="s">
        <v>139</v>
      </c>
      <c r="F478" s="36">
        <f>6673350</f>
        <v>6673350</v>
      </c>
      <c r="G478" s="36">
        <f t="shared" ref="G478:H478" si="353">6673350-626263</f>
        <v>6047087</v>
      </c>
      <c r="H478" s="36">
        <f t="shared" si="353"/>
        <v>6047087</v>
      </c>
      <c r="I478" s="36">
        <f t="shared" si="334"/>
        <v>0</v>
      </c>
      <c r="J478" s="37">
        <f t="shared" si="335"/>
        <v>90.62</v>
      </c>
      <c r="K478" s="38" t="s">
        <v>598</v>
      </c>
      <c r="L478" s="38">
        <f t="shared" si="336"/>
        <v>100</v>
      </c>
      <c r="M478" s="38"/>
    </row>
    <row r="479" spans="1:13" s="1" customFormat="1" ht="78">
      <c r="A479" s="16" t="s">
        <v>280</v>
      </c>
      <c r="B479" s="25" t="s">
        <v>63</v>
      </c>
      <c r="C479" s="25" t="s">
        <v>48</v>
      </c>
      <c r="D479" s="47" t="s">
        <v>318</v>
      </c>
      <c r="E479" s="48" t="s">
        <v>27</v>
      </c>
      <c r="F479" s="26">
        <f>F480</f>
        <v>16111750</v>
      </c>
      <c r="G479" s="26">
        <f t="shared" ref="G479:H479" si="354">G480</f>
        <v>14793400</v>
      </c>
      <c r="H479" s="26">
        <f t="shared" si="354"/>
        <v>14793400</v>
      </c>
      <c r="I479" s="26">
        <f t="shared" si="334"/>
        <v>0</v>
      </c>
      <c r="J479" s="27">
        <f t="shared" si="335"/>
        <v>91.82</v>
      </c>
      <c r="K479" s="26"/>
      <c r="L479" s="26">
        <f t="shared" si="336"/>
        <v>100</v>
      </c>
      <c r="M479" s="26"/>
    </row>
    <row r="480" spans="1:13" s="1" customFormat="1" ht="140.4">
      <c r="A480" s="18" t="s">
        <v>138</v>
      </c>
      <c r="B480" s="25" t="s">
        <v>63</v>
      </c>
      <c r="C480" s="25" t="s">
        <v>48</v>
      </c>
      <c r="D480" s="47" t="s">
        <v>318</v>
      </c>
      <c r="E480" s="48" t="s">
        <v>139</v>
      </c>
      <c r="F480" s="38">
        <f>16111750</f>
        <v>16111750</v>
      </c>
      <c r="G480" s="38">
        <f t="shared" ref="G480:H480" si="355">16111750+1762900-3081250</f>
        <v>14793400</v>
      </c>
      <c r="H480" s="38">
        <f t="shared" si="355"/>
        <v>14793400</v>
      </c>
      <c r="I480" s="38">
        <f t="shared" si="334"/>
        <v>0</v>
      </c>
      <c r="J480" s="50">
        <f t="shared" si="335"/>
        <v>91.82</v>
      </c>
      <c r="K480" s="38" t="s">
        <v>598</v>
      </c>
      <c r="L480" s="38">
        <f t="shared" si="336"/>
        <v>100</v>
      </c>
      <c r="M480" s="38"/>
    </row>
    <row r="481" spans="1:13" s="1" customFormat="1" ht="78">
      <c r="A481" s="18" t="s">
        <v>321</v>
      </c>
      <c r="B481" s="25" t="s">
        <v>63</v>
      </c>
      <c r="C481" s="25" t="s">
        <v>48</v>
      </c>
      <c r="D481" s="25" t="s">
        <v>322</v>
      </c>
      <c r="E481" s="48" t="s">
        <v>27</v>
      </c>
      <c r="F481" s="26">
        <f>F490+F492+F482+F484+F486+F488</f>
        <v>57983043.539999999</v>
      </c>
      <c r="G481" s="26">
        <f t="shared" ref="G481:H481" si="356">G490+G492+G482+G484+G486+G488</f>
        <v>2650189.27</v>
      </c>
      <c r="H481" s="26">
        <f t="shared" si="356"/>
        <v>2650189.27</v>
      </c>
      <c r="I481" s="26">
        <f t="shared" si="334"/>
        <v>0</v>
      </c>
      <c r="J481" s="27">
        <f t="shared" si="335"/>
        <v>4.57</v>
      </c>
      <c r="K481" s="26"/>
      <c r="L481" s="26">
        <f t="shared" si="336"/>
        <v>100</v>
      </c>
      <c r="M481" s="26"/>
    </row>
    <row r="482" spans="1:13" s="1" customFormat="1" ht="62.4">
      <c r="A482" s="16" t="s">
        <v>547</v>
      </c>
      <c r="B482" s="79" t="s">
        <v>63</v>
      </c>
      <c r="C482" s="25" t="s">
        <v>48</v>
      </c>
      <c r="D482" s="16" t="s">
        <v>548</v>
      </c>
      <c r="E482" s="48" t="s">
        <v>27</v>
      </c>
      <c r="F482" s="26">
        <f>F483</f>
        <v>0</v>
      </c>
      <c r="G482" s="26">
        <f t="shared" ref="G482:H482" si="357">G483</f>
        <v>1192499.3799999999</v>
      </c>
      <c r="H482" s="26">
        <f t="shared" si="357"/>
        <v>1192499.3799999999</v>
      </c>
      <c r="I482" s="26">
        <f t="shared" si="334"/>
        <v>0</v>
      </c>
      <c r="J482" s="27" t="e">
        <f t="shared" si="335"/>
        <v>#DIV/0!</v>
      </c>
      <c r="K482" s="26"/>
      <c r="L482" s="26">
        <f t="shared" si="336"/>
        <v>100</v>
      </c>
      <c r="M482" s="26"/>
    </row>
    <row r="483" spans="1:13" s="1" customFormat="1" ht="140.4">
      <c r="A483" s="18" t="s">
        <v>138</v>
      </c>
      <c r="B483" s="79" t="s">
        <v>63</v>
      </c>
      <c r="C483" s="25" t="s">
        <v>48</v>
      </c>
      <c r="D483" s="16" t="s">
        <v>548</v>
      </c>
      <c r="E483" s="48" t="s">
        <v>139</v>
      </c>
      <c r="F483" s="26">
        <f>0</f>
        <v>0</v>
      </c>
      <c r="G483" s="26">
        <f t="shared" ref="G483:H483" si="358">1500000-307500.62</f>
        <v>1192499.3799999999</v>
      </c>
      <c r="H483" s="26">
        <f t="shared" si="358"/>
        <v>1192499.3799999999</v>
      </c>
      <c r="I483" s="26">
        <f t="shared" si="334"/>
        <v>0</v>
      </c>
      <c r="J483" s="27" t="e">
        <f t="shared" si="335"/>
        <v>#DIV/0!</v>
      </c>
      <c r="K483" s="38" t="s">
        <v>598</v>
      </c>
      <c r="L483" s="26">
        <f t="shared" si="336"/>
        <v>100</v>
      </c>
      <c r="M483" s="26"/>
    </row>
    <row r="484" spans="1:13" s="1" customFormat="1" ht="78">
      <c r="A484" s="16" t="s">
        <v>552</v>
      </c>
      <c r="B484" s="79" t="s">
        <v>63</v>
      </c>
      <c r="C484" s="25" t="s">
        <v>48</v>
      </c>
      <c r="D484" s="16" t="s">
        <v>548</v>
      </c>
      <c r="E484" s="48" t="s">
        <v>27</v>
      </c>
      <c r="F484" s="26">
        <f>F485</f>
        <v>0</v>
      </c>
      <c r="G484" s="26">
        <f t="shared" ref="G484:H484" si="359">G485</f>
        <v>12045.46</v>
      </c>
      <c r="H484" s="26">
        <f t="shared" si="359"/>
        <v>12045.46</v>
      </c>
      <c r="I484" s="26">
        <f t="shared" si="334"/>
        <v>0</v>
      </c>
      <c r="J484" s="27" t="e">
        <f t="shared" si="335"/>
        <v>#DIV/0!</v>
      </c>
      <c r="K484" s="26"/>
      <c r="L484" s="26">
        <f t="shared" si="336"/>
        <v>100</v>
      </c>
      <c r="M484" s="26"/>
    </row>
    <row r="485" spans="1:13" s="1" customFormat="1" ht="140.4">
      <c r="A485" s="18" t="s">
        <v>138</v>
      </c>
      <c r="B485" s="79" t="s">
        <v>63</v>
      </c>
      <c r="C485" s="25" t="s">
        <v>48</v>
      </c>
      <c r="D485" s="16" t="s">
        <v>548</v>
      </c>
      <c r="E485" s="48" t="s">
        <v>139</v>
      </c>
      <c r="F485" s="39">
        <v>0</v>
      </c>
      <c r="G485" s="39">
        <f t="shared" ref="G485:H485" si="360">15151.52-3106.06</f>
        <v>12045.46</v>
      </c>
      <c r="H485" s="39">
        <f t="shared" si="360"/>
        <v>12045.46</v>
      </c>
      <c r="I485" s="39">
        <f t="shared" si="334"/>
        <v>0</v>
      </c>
      <c r="J485" s="40" t="e">
        <f t="shared" si="335"/>
        <v>#DIV/0!</v>
      </c>
      <c r="K485" s="15" t="s">
        <v>598</v>
      </c>
      <c r="L485" s="39">
        <f t="shared" si="336"/>
        <v>100</v>
      </c>
      <c r="M485" s="39"/>
    </row>
    <row r="486" spans="1:13" s="1" customFormat="1" ht="62.4">
      <c r="A486" s="16" t="s">
        <v>550</v>
      </c>
      <c r="B486" s="79" t="s">
        <v>63</v>
      </c>
      <c r="C486" s="25" t="s">
        <v>48</v>
      </c>
      <c r="D486" s="16" t="s">
        <v>549</v>
      </c>
      <c r="E486" s="48" t="s">
        <v>27</v>
      </c>
      <c r="F486" s="26">
        <f>F487</f>
        <v>0</v>
      </c>
      <c r="G486" s="26">
        <f t="shared" ref="G486:H486" si="361">G487</f>
        <v>1214999.3999999999</v>
      </c>
      <c r="H486" s="26">
        <f t="shared" si="361"/>
        <v>1214999.3999999999</v>
      </c>
      <c r="I486" s="26">
        <f t="shared" si="334"/>
        <v>0</v>
      </c>
      <c r="J486" s="27" t="e">
        <f t="shared" si="335"/>
        <v>#DIV/0!</v>
      </c>
      <c r="K486" s="26"/>
      <c r="L486" s="26">
        <f t="shared" si="336"/>
        <v>100</v>
      </c>
      <c r="M486" s="26"/>
    </row>
    <row r="487" spans="1:13" s="1" customFormat="1" ht="140.4">
      <c r="A487" s="18" t="s">
        <v>138</v>
      </c>
      <c r="B487" s="79" t="s">
        <v>63</v>
      </c>
      <c r="C487" s="25" t="s">
        <v>48</v>
      </c>
      <c r="D487" s="16" t="s">
        <v>549</v>
      </c>
      <c r="E487" s="48" t="s">
        <v>139</v>
      </c>
      <c r="F487" s="26">
        <v>0</v>
      </c>
      <c r="G487" s="26">
        <f t="shared" ref="G487:H487" si="362">1500000-285000.6</f>
        <v>1214999.3999999999</v>
      </c>
      <c r="H487" s="26">
        <f t="shared" si="362"/>
        <v>1214999.3999999999</v>
      </c>
      <c r="I487" s="26">
        <f t="shared" si="334"/>
        <v>0</v>
      </c>
      <c r="J487" s="27" t="e">
        <f t="shared" si="335"/>
        <v>#DIV/0!</v>
      </c>
      <c r="K487" s="38" t="s">
        <v>598</v>
      </c>
      <c r="L487" s="26">
        <f t="shared" si="336"/>
        <v>100</v>
      </c>
      <c r="M487" s="26"/>
    </row>
    <row r="488" spans="1:13" s="1" customFormat="1" ht="78">
      <c r="A488" s="16" t="s">
        <v>551</v>
      </c>
      <c r="B488" s="79" t="s">
        <v>63</v>
      </c>
      <c r="C488" s="25" t="s">
        <v>48</v>
      </c>
      <c r="D488" s="16" t="s">
        <v>549</v>
      </c>
      <c r="E488" s="48" t="s">
        <v>27</v>
      </c>
      <c r="F488" s="26">
        <f>F489</f>
        <v>0</v>
      </c>
      <c r="G488" s="26">
        <f t="shared" ref="G488:H488" si="363">G489</f>
        <v>230645.03</v>
      </c>
      <c r="H488" s="26">
        <f t="shared" si="363"/>
        <v>230645.03</v>
      </c>
      <c r="I488" s="26">
        <f t="shared" si="334"/>
        <v>0</v>
      </c>
      <c r="J488" s="27" t="e">
        <f t="shared" si="335"/>
        <v>#DIV/0!</v>
      </c>
      <c r="K488" s="26"/>
      <c r="L488" s="26">
        <f t="shared" si="336"/>
        <v>100</v>
      </c>
      <c r="M488" s="26"/>
    </row>
    <row r="489" spans="1:13" s="1" customFormat="1" ht="140.4">
      <c r="A489" s="18" t="s">
        <v>138</v>
      </c>
      <c r="B489" s="79" t="s">
        <v>63</v>
      </c>
      <c r="C489" s="25" t="s">
        <v>48</v>
      </c>
      <c r="D489" s="16" t="s">
        <v>549</v>
      </c>
      <c r="E489" s="48" t="s">
        <v>139</v>
      </c>
      <c r="F489" s="39">
        <v>0</v>
      </c>
      <c r="G489" s="39">
        <f t="shared" ref="G489:H489" si="364">15151.52+215493.51</f>
        <v>230645.03</v>
      </c>
      <c r="H489" s="39">
        <f t="shared" si="364"/>
        <v>230645.03</v>
      </c>
      <c r="I489" s="39">
        <f t="shared" si="334"/>
        <v>0</v>
      </c>
      <c r="J489" s="40" t="e">
        <f t="shared" si="335"/>
        <v>#DIV/0!</v>
      </c>
      <c r="K489" s="15" t="s">
        <v>598</v>
      </c>
      <c r="L489" s="39">
        <f t="shared" si="336"/>
        <v>100</v>
      </c>
      <c r="M489" s="39"/>
    </row>
    <row r="490" spans="1:13" s="1" customFormat="1" ht="31.2">
      <c r="A490" s="16" t="s">
        <v>250</v>
      </c>
      <c r="B490" s="79" t="s">
        <v>63</v>
      </c>
      <c r="C490" s="25" t="s">
        <v>48</v>
      </c>
      <c r="D490" s="16" t="s">
        <v>323</v>
      </c>
      <c r="E490" s="48" t="s">
        <v>27</v>
      </c>
      <c r="F490" s="26">
        <f>F491</f>
        <v>55083891.359999999</v>
      </c>
      <c r="G490" s="26">
        <f t="shared" ref="G490:H490" si="365">G491</f>
        <v>0</v>
      </c>
      <c r="H490" s="26">
        <f t="shared" si="365"/>
        <v>0</v>
      </c>
      <c r="I490" s="26">
        <f t="shared" si="334"/>
        <v>0</v>
      </c>
      <c r="J490" s="27">
        <f t="shared" si="335"/>
        <v>0</v>
      </c>
      <c r="K490" s="26"/>
      <c r="L490" s="26" t="e">
        <f t="shared" si="336"/>
        <v>#DIV/0!</v>
      </c>
      <c r="M490" s="26"/>
    </row>
    <row r="491" spans="1:13" s="1" customFormat="1" ht="140.4">
      <c r="A491" s="18" t="s">
        <v>138</v>
      </c>
      <c r="B491" s="79" t="s">
        <v>63</v>
      </c>
      <c r="C491" s="25" t="s">
        <v>48</v>
      </c>
      <c r="D491" s="16" t="s">
        <v>323</v>
      </c>
      <c r="E491" s="48" t="s">
        <v>139</v>
      </c>
      <c r="F491" s="26">
        <f>55083891.36</f>
        <v>55083891.359999999</v>
      </c>
      <c r="G491" s="26">
        <f t="shared" ref="G491:H491" si="366">55083891.36-55083891.36</f>
        <v>0</v>
      </c>
      <c r="H491" s="26">
        <f t="shared" si="366"/>
        <v>0</v>
      </c>
      <c r="I491" s="26">
        <f t="shared" si="334"/>
        <v>0</v>
      </c>
      <c r="J491" s="27">
        <f t="shared" si="335"/>
        <v>0</v>
      </c>
      <c r="K491" s="38" t="s">
        <v>598</v>
      </c>
      <c r="L491" s="26" t="e">
        <f t="shared" si="336"/>
        <v>#DIV/0!</v>
      </c>
      <c r="M491" s="38" t="s">
        <v>598</v>
      </c>
    </row>
    <row r="492" spans="1:13" s="1" customFormat="1" ht="46.8">
      <c r="A492" s="16" t="s">
        <v>251</v>
      </c>
      <c r="B492" s="79" t="s">
        <v>63</v>
      </c>
      <c r="C492" s="25" t="s">
        <v>48</v>
      </c>
      <c r="D492" s="16" t="s">
        <v>323</v>
      </c>
      <c r="E492" s="48" t="s">
        <v>27</v>
      </c>
      <c r="F492" s="26">
        <f>F493</f>
        <v>2899152.18</v>
      </c>
      <c r="G492" s="26">
        <f t="shared" ref="G492:H492" si="367">G493</f>
        <v>0</v>
      </c>
      <c r="H492" s="26">
        <f t="shared" si="367"/>
        <v>0</v>
      </c>
      <c r="I492" s="26">
        <f t="shared" si="334"/>
        <v>0</v>
      </c>
      <c r="J492" s="27">
        <f t="shared" si="335"/>
        <v>0</v>
      </c>
      <c r="K492" s="26"/>
      <c r="L492" s="26" t="e">
        <f t="shared" si="336"/>
        <v>#DIV/0!</v>
      </c>
      <c r="M492" s="26"/>
    </row>
    <row r="493" spans="1:13" s="1" customFormat="1" ht="140.4">
      <c r="A493" s="18" t="s">
        <v>138</v>
      </c>
      <c r="B493" s="79" t="s">
        <v>63</v>
      </c>
      <c r="C493" s="25" t="s">
        <v>48</v>
      </c>
      <c r="D493" s="16" t="s">
        <v>323</v>
      </c>
      <c r="E493" s="48" t="s">
        <v>139</v>
      </c>
      <c r="F493" s="39">
        <f>2899152.18</f>
        <v>2899152.18</v>
      </c>
      <c r="G493" s="39">
        <f t="shared" ref="G493:H493" si="368">2899152.18-2899152.18</f>
        <v>0</v>
      </c>
      <c r="H493" s="39">
        <f t="shared" si="368"/>
        <v>0</v>
      </c>
      <c r="I493" s="39">
        <f t="shared" si="334"/>
        <v>0</v>
      </c>
      <c r="J493" s="40">
        <f t="shared" si="335"/>
        <v>0</v>
      </c>
      <c r="K493" s="15" t="s">
        <v>598</v>
      </c>
      <c r="L493" s="39" t="e">
        <f t="shared" si="336"/>
        <v>#DIV/0!</v>
      </c>
      <c r="M493" s="15" t="s">
        <v>598</v>
      </c>
    </row>
    <row r="494" spans="1:13" s="1" customFormat="1" ht="78">
      <c r="A494" s="78" t="s">
        <v>510</v>
      </c>
      <c r="B494" s="25" t="s">
        <v>63</v>
      </c>
      <c r="C494" s="25" t="s">
        <v>48</v>
      </c>
      <c r="D494" s="25" t="s">
        <v>469</v>
      </c>
      <c r="E494" s="48" t="s">
        <v>27</v>
      </c>
      <c r="F494" s="26">
        <f>F498+F495</f>
        <v>150000</v>
      </c>
      <c r="G494" s="26">
        <f t="shared" ref="G494:H494" si="369">G498+G495</f>
        <v>0</v>
      </c>
      <c r="H494" s="26">
        <f t="shared" si="369"/>
        <v>0</v>
      </c>
      <c r="I494" s="26">
        <f t="shared" si="334"/>
        <v>0</v>
      </c>
      <c r="J494" s="27">
        <f t="shared" si="335"/>
        <v>0</v>
      </c>
      <c r="K494" s="26"/>
      <c r="L494" s="26" t="e">
        <f t="shared" si="336"/>
        <v>#DIV/0!</v>
      </c>
      <c r="M494" s="26"/>
    </row>
    <row r="495" spans="1:13" s="1" customFormat="1" ht="124.8">
      <c r="A495" s="18" t="s">
        <v>566</v>
      </c>
      <c r="B495" s="79" t="s">
        <v>63</v>
      </c>
      <c r="C495" s="25" t="s">
        <v>48</v>
      </c>
      <c r="D495" s="28" t="s">
        <v>471</v>
      </c>
      <c r="E495" s="48" t="s">
        <v>27</v>
      </c>
      <c r="F495" s="39">
        <f>F496</f>
        <v>150000</v>
      </c>
      <c r="G495" s="39">
        <f t="shared" ref="G495:H495" si="370">G496</f>
        <v>0</v>
      </c>
      <c r="H495" s="39">
        <f t="shared" si="370"/>
        <v>0</v>
      </c>
      <c r="I495" s="39">
        <f t="shared" si="334"/>
        <v>0</v>
      </c>
      <c r="J495" s="40">
        <f t="shared" si="335"/>
        <v>0</v>
      </c>
      <c r="K495" s="39"/>
      <c r="L495" s="39" t="e">
        <f t="shared" si="336"/>
        <v>#DIV/0!</v>
      </c>
      <c r="M495" s="39"/>
    </row>
    <row r="496" spans="1:13" s="1" customFormat="1" ht="140.4">
      <c r="A496" s="18" t="s">
        <v>138</v>
      </c>
      <c r="B496" s="25" t="s">
        <v>63</v>
      </c>
      <c r="C496" s="25" t="s">
        <v>48</v>
      </c>
      <c r="D496" s="28" t="s">
        <v>471</v>
      </c>
      <c r="E496" s="48" t="s">
        <v>139</v>
      </c>
      <c r="F496" s="39">
        <f>150000</f>
        <v>150000</v>
      </c>
      <c r="G496" s="39">
        <f t="shared" ref="G496:H496" si="371">150000-150000</f>
        <v>0</v>
      </c>
      <c r="H496" s="39">
        <f t="shared" si="371"/>
        <v>0</v>
      </c>
      <c r="I496" s="39">
        <f t="shared" si="334"/>
        <v>0</v>
      </c>
      <c r="J496" s="40">
        <f t="shared" si="335"/>
        <v>0</v>
      </c>
      <c r="K496" s="15" t="s">
        <v>598</v>
      </c>
      <c r="L496" s="39" t="e">
        <f t="shared" si="336"/>
        <v>#DIV/0!</v>
      </c>
      <c r="M496" s="15" t="s">
        <v>598</v>
      </c>
    </row>
    <row r="497" spans="1:13" s="1" customFormat="1" ht="93.6">
      <c r="A497" s="18" t="s">
        <v>470</v>
      </c>
      <c r="B497" s="79" t="s">
        <v>63</v>
      </c>
      <c r="C497" s="25" t="s">
        <v>48</v>
      </c>
      <c r="D497" s="28" t="s">
        <v>471</v>
      </c>
      <c r="E497" s="48" t="s">
        <v>27</v>
      </c>
      <c r="F497" s="39">
        <f>F498</f>
        <v>0</v>
      </c>
      <c r="G497" s="39">
        <f t="shared" ref="G497:H497" si="372">G498</f>
        <v>0</v>
      </c>
      <c r="H497" s="39">
        <f t="shared" si="372"/>
        <v>0</v>
      </c>
      <c r="I497" s="39">
        <f t="shared" si="334"/>
        <v>0</v>
      </c>
      <c r="J497" s="40" t="e">
        <f t="shared" si="335"/>
        <v>#DIV/0!</v>
      </c>
      <c r="K497" s="39"/>
      <c r="L497" s="39" t="e">
        <f t="shared" si="336"/>
        <v>#DIV/0!</v>
      </c>
      <c r="M497" s="39"/>
    </row>
    <row r="498" spans="1:13" s="1" customFormat="1" ht="140.4">
      <c r="A498" s="18" t="s">
        <v>138</v>
      </c>
      <c r="B498" s="25" t="s">
        <v>63</v>
      </c>
      <c r="C498" s="25" t="s">
        <v>48</v>
      </c>
      <c r="D498" s="28" t="s">
        <v>471</v>
      </c>
      <c r="E498" s="48" t="s">
        <v>139</v>
      </c>
      <c r="F498" s="39">
        <v>0</v>
      </c>
      <c r="G498" s="39">
        <f t="shared" ref="G498:H498" si="373">150000-150000</f>
        <v>0</v>
      </c>
      <c r="H498" s="39">
        <f t="shared" si="373"/>
        <v>0</v>
      </c>
      <c r="I498" s="39">
        <f t="shared" si="334"/>
        <v>0</v>
      </c>
      <c r="J498" s="40" t="e">
        <f t="shared" si="335"/>
        <v>#DIV/0!</v>
      </c>
      <c r="K498" s="15" t="s">
        <v>598</v>
      </c>
      <c r="L498" s="39" t="e">
        <f t="shared" si="336"/>
        <v>#DIV/0!</v>
      </c>
      <c r="M498" s="15" t="s">
        <v>598</v>
      </c>
    </row>
    <row r="499" spans="1:13" s="1" customFormat="1" ht="15.6">
      <c r="A499" s="60" t="s">
        <v>500</v>
      </c>
      <c r="B499" s="65" t="s">
        <v>63</v>
      </c>
      <c r="C499" s="28" t="s">
        <v>48</v>
      </c>
      <c r="D499" s="28" t="s">
        <v>182</v>
      </c>
      <c r="E499" s="28" t="s">
        <v>27</v>
      </c>
      <c r="F499" s="39">
        <f>F500</f>
        <v>2597240.1</v>
      </c>
      <c r="G499" s="39">
        <f t="shared" ref="G499:H501" si="374">G500</f>
        <v>2141956.7999999998</v>
      </c>
      <c r="H499" s="39">
        <f t="shared" si="374"/>
        <v>2141956.7999999998</v>
      </c>
      <c r="I499" s="39">
        <f t="shared" si="334"/>
        <v>0</v>
      </c>
      <c r="J499" s="40">
        <f t="shared" si="335"/>
        <v>82.47</v>
      </c>
      <c r="K499" s="39"/>
      <c r="L499" s="39">
        <f t="shared" si="336"/>
        <v>100</v>
      </c>
      <c r="M499" s="39"/>
    </row>
    <row r="500" spans="1:13" s="1" customFormat="1" ht="46.8">
      <c r="A500" s="16" t="s">
        <v>324</v>
      </c>
      <c r="B500" s="48" t="s">
        <v>63</v>
      </c>
      <c r="C500" s="48" t="s">
        <v>48</v>
      </c>
      <c r="D500" s="81" t="s">
        <v>472</v>
      </c>
      <c r="E500" s="48" t="s">
        <v>27</v>
      </c>
      <c r="F500" s="26">
        <f>F501</f>
        <v>2597240.1</v>
      </c>
      <c r="G500" s="26">
        <f t="shared" si="374"/>
        <v>2141956.7999999998</v>
      </c>
      <c r="H500" s="26">
        <f t="shared" si="374"/>
        <v>2141956.7999999998</v>
      </c>
      <c r="I500" s="26">
        <f t="shared" si="334"/>
        <v>0</v>
      </c>
      <c r="J500" s="27">
        <f t="shared" si="335"/>
        <v>82.47</v>
      </c>
      <c r="K500" s="26"/>
      <c r="L500" s="26">
        <f t="shared" si="336"/>
        <v>100</v>
      </c>
      <c r="M500" s="26"/>
    </row>
    <row r="501" spans="1:13" s="1" customFormat="1" ht="78">
      <c r="A501" s="60" t="s">
        <v>289</v>
      </c>
      <c r="B501" s="48" t="s">
        <v>63</v>
      </c>
      <c r="C501" s="25" t="s">
        <v>48</v>
      </c>
      <c r="D501" s="63" t="s">
        <v>473</v>
      </c>
      <c r="E501" s="25" t="s">
        <v>27</v>
      </c>
      <c r="F501" s="26">
        <f>F502</f>
        <v>2597240.1</v>
      </c>
      <c r="G501" s="26">
        <f t="shared" si="374"/>
        <v>2141956.7999999998</v>
      </c>
      <c r="H501" s="26">
        <f t="shared" si="374"/>
        <v>2141956.7999999998</v>
      </c>
      <c r="I501" s="26">
        <f t="shared" si="334"/>
        <v>0</v>
      </c>
      <c r="J501" s="27">
        <f t="shared" si="335"/>
        <v>82.47</v>
      </c>
      <c r="K501" s="26"/>
      <c r="L501" s="26">
        <f t="shared" si="336"/>
        <v>100</v>
      </c>
      <c r="M501" s="26"/>
    </row>
    <row r="502" spans="1:13" s="1" customFormat="1" ht="140.4">
      <c r="A502" s="18" t="s">
        <v>138</v>
      </c>
      <c r="B502" s="48" t="s">
        <v>63</v>
      </c>
      <c r="C502" s="25" t="s">
        <v>48</v>
      </c>
      <c r="D502" s="63" t="s">
        <v>473</v>
      </c>
      <c r="E502" s="25" t="s">
        <v>139</v>
      </c>
      <c r="F502" s="55">
        <f>2597240.1</f>
        <v>2597240.1</v>
      </c>
      <c r="G502" s="55">
        <f t="shared" ref="G502:H502" si="375">2597240.1-60097.62-395185.68</f>
        <v>2141956.7999999998</v>
      </c>
      <c r="H502" s="55">
        <f t="shared" si="375"/>
        <v>2141956.7999999998</v>
      </c>
      <c r="I502" s="55">
        <f t="shared" si="334"/>
        <v>0</v>
      </c>
      <c r="J502" s="56">
        <f t="shared" si="335"/>
        <v>82.47</v>
      </c>
      <c r="K502" s="15" t="s">
        <v>598</v>
      </c>
      <c r="L502" s="15">
        <f t="shared" si="336"/>
        <v>100</v>
      </c>
      <c r="M502" s="15"/>
    </row>
    <row r="503" spans="1:13" s="1" customFormat="1" ht="15.6">
      <c r="A503" s="60" t="s">
        <v>332</v>
      </c>
      <c r="B503" s="16">
        <v>995</v>
      </c>
      <c r="C503" s="28" t="s">
        <v>239</v>
      </c>
      <c r="D503" s="28" t="s">
        <v>154</v>
      </c>
      <c r="E503" s="28" t="s">
        <v>27</v>
      </c>
      <c r="F503" s="39">
        <f>F504</f>
        <v>11512930</v>
      </c>
      <c r="G503" s="39">
        <f t="shared" ref="G503:H507" si="376">G504</f>
        <v>10105902.66</v>
      </c>
      <c r="H503" s="39">
        <f t="shared" si="376"/>
        <v>10105902.66</v>
      </c>
      <c r="I503" s="39">
        <f t="shared" si="334"/>
        <v>0</v>
      </c>
      <c r="J503" s="40">
        <f t="shared" si="335"/>
        <v>87.78</v>
      </c>
      <c r="K503" s="39"/>
      <c r="L503" s="39">
        <f t="shared" si="336"/>
        <v>100</v>
      </c>
      <c r="M503" s="39"/>
    </row>
    <row r="504" spans="1:13" s="1" customFormat="1" ht="46.8">
      <c r="A504" s="60" t="s">
        <v>505</v>
      </c>
      <c r="B504" s="16">
        <v>995</v>
      </c>
      <c r="C504" s="28" t="s">
        <v>239</v>
      </c>
      <c r="D504" s="28" t="s">
        <v>0</v>
      </c>
      <c r="E504" s="28" t="s">
        <v>27</v>
      </c>
      <c r="F504" s="39">
        <f>F505</f>
        <v>11512930</v>
      </c>
      <c r="G504" s="39">
        <f t="shared" si="376"/>
        <v>10105902.66</v>
      </c>
      <c r="H504" s="39">
        <f t="shared" si="376"/>
        <v>10105902.66</v>
      </c>
      <c r="I504" s="39">
        <f t="shared" si="334"/>
        <v>0</v>
      </c>
      <c r="J504" s="40">
        <f t="shared" si="335"/>
        <v>87.78</v>
      </c>
      <c r="K504" s="39"/>
      <c r="L504" s="39">
        <f t="shared" si="336"/>
        <v>100</v>
      </c>
      <c r="M504" s="39"/>
    </row>
    <row r="505" spans="1:13" s="1" customFormat="1" ht="62.4">
      <c r="A505" s="60" t="s">
        <v>506</v>
      </c>
      <c r="B505" s="16">
        <v>995</v>
      </c>
      <c r="C505" s="28" t="s">
        <v>239</v>
      </c>
      <c r="D505" s="28" t="s">
        <v>1</v>
      </c>
      <c r="E505" s="28" t="s">
        <v>27</v>
      </c>
      <c r="F505" s="39">
        <f>F506</f>
        <v>11512930</v>
      </c>
      <c r="G505" s="39">
        <f t="shared" si="376"/>
        <v>10105902.66</v>
      </c>
      <c r="H505" s="39">
        <f t="shared" si="376"/>
        <v>10105902.66</v>
      </c>
      <c r="I505" s="39">
        <f t="shared" si="334"/>
        <v>0</v>
      </c>
      <c r="J505" s="40">
        <f t="shared" si="335"/>
        <v>87.78</v>
      </c>
      <c r="K505" s="39"/>
      <c r="L505" s="39">
        <f t="shared" si="336"/>
        <v>100</v>
      </c>
      <c r="M505" s="39"/>
    </row>
    <row r="506" spans="1:13" s="1" customFormat="1" ht="31.2">
      <c r="A506" s="62" t="s">
        <v>325</v>
      </c>
      <c r="B506" s="16">
        <v>995</v>
      </c>
      <c r="C506" s="28" t="s">
        <v>239</v>
      </c>
      <c r="D506" s="28" t="s">
        <v>294</v>
      </c>
      <c r="E506" s="28" t="s">
        <v>27</v>
      </c>
      <c r="F506" s="39">
        <f>F507</f>
        <v>11512930</v>
      </c>
      <c r="G506" s="39">
        <f t="shared" si="376"/>
        <v>10105902.66</v>
      </c>
      <c r="H506" s="39">
        <f t="shared" si="376"/>
        <v>10105902.66</v>
      </c>
      <c r="I506" s="39">
        <f t="shared" si="334"/>
        <v>0</v>
      </c>
      <c r="J506" s="40">
        <f t="shared" si="335"/>
        <v>87.78</v>
      </c>
      <c r="K506" s="39"/>
      <c r="L506" s="39">
        <f t="shared" si="336"/>
        <v>100</v>
      </c>
      <c r="M506" s="39"/>
    </row>
    <row r="507" spans="1:13" s="1" customFormat="1" ht="46.8">
      <c r="A507" s="18" t="s">
        <v>295</v>
      </c>
      <c r="B507" s="18">
        <v>995</v>
      </c>
      <c r="C507" s="49" t="s">
        <v>239</v>
      </c>
      <c r="D507" s="49" t="s">
        <v>248</v>
      </c>
      <c r="E507" s="49" t="s">
        <v>27</v>
      </c>
      <c r="F507" s="39">
        <f>F508</f>
        <v>11512930</v>
      </c>
      <c r="G507" s="39">
        <f t="shared" si="376"/>
        <v>10105902.66</v>
      </c>
      <c r="H507" s="39">
        <f t="shared" si="376"/>
        <v>10105902.66</v>
      </c>
      <c r="I507" s="39">
        <f t="shared" si="334"/>
        <v>0</v>
      </c>
      <c r="J507" s="40">
        <f t="shared" si="335"/>
        <v>87.78</v>
      </c>
      <c r="K507" s="39"/>
      <c r="L507" s="39">
        <f t="shared" si="336"/>
        <v>100</v>
      </c>
      <c r="M507" s="39"/>
    </row>
    <row r="508" spans="1:13" s="1" customFormat="1" ht="15.6">
      <c r="A508" s="18" t="s">
        <v>138</v>
      </c>
      <c r="B508" s="18">
        <v>995</v>
      </c>
      <c r="C508" s="49" t="s">
        <v>239</v>
      </c>
      <c r="D508" s="49" t="s">
        <v>248</v>
      </c>
      <c r="E508" s="49" t="s">
        <v>139</v>
      </c>
      <c r="F508" s="39">
        <f>11512930</f>
        <v>11512930</v>
      </c>
      <c r="G508" s="39">
        <f t="shared" ref="G508:H508" si="377">11512930+80000-1444242+780000-822785.34</f>
        <v>10105902.66</v>
      </c>
      <c r="H508" s="39">
        <f t="shared" si="377"/>
        <v>10105902.66</v>
      </c>
      <c r="I508" s="39">
        <f t="shared" si="334"/>
        <v>0</v>
      </c>
      <c r="J508" s="40">
        <f t="shared" si="335"/>
        <v>87.78</v>
      </c>
      <c r="K508" s="39"/>
      <c r="L508" s="39">
        <f t="shared" si="336"/>
        <v>100</v>
      </c>
      <c r="M508" s="39"/>
    </row>
    <row r="509" spans="1:13" s="1" customFormat="1" ht="15.6">
      <c r="A509" s="18" t="s">
        <v>333</v>
      </c>
      <c r="B509" s="25" t="s">
        <v>63</v>
      </c>
      <c r="C509" s="25" t="s">
        <v>91</v>
      </c>
      <c r="D509" s="25" t="s">
        <v>154</v>
      </c>
      <c r="E509" s="25" t="s">
        <v>27</v>
      </c>
      <c r="F509" s="26">
        <f>F511</f>
        <v>5063425</v>
      </c>
      <c r="G509" s="26">
        <f t="shared" ref="G509:H509" si="378">G511</f>
        <v>5176975.8600000003</v>
      </c>
      <c r="H509" s="26">
        <f t="shared" si="378"/>
        <v>5176975.8600000003</v>
      </c>
      <c r="I509" s="26">
        <f t="shared" si="334"/>
        <v>0</v>
      </c>
      <c r="J509" s="27">
        <f t="shared" si="335"/>
        <v>102.24</v>
      </c>
      <c r="K509" s="26"/>
      <c r="L509" s="26">
        <f t="shared" si="336"/>
        <v>100</v>
      </c>
      <c r="M509" s="26"/>
    </row>
    <row r="510" spans="1:13" s="1" customFormat="1" ht="46.8">
      <c r="A510" s="18" t="s">
        <v>505</v>
      </c>
      <c r="B510" s="25" t="s">
        <v>63</v>
      </c>
      <c r="C510" s="25" t="s">
        <v>91</v>
      </c>
      <c r="D510" s="25" t="s">
        <v>0</v>
      </c>
      <c r="E510" s="25" t="s">
        <v>27</v>
      </c>
      <c r="F510" s="26">
        <f t="shared" ref="F510:H511" si="379">F511</f>
        <v>5063425</v>
      </c>
      <c r="G510" s="26">
        <f t="shared" si="379"/>
        <v>5176975.8600000003</v>
      </c>
      <c r="H510" s="26">
        <f t="shared" si="379"/>
        <v>5176975.8600000003</v>
      </c>
      <c r="I510" s="26">
        <f t="shared" si="334"/>
        <v>0</v>
      </c>
      <c r="J510" s="27">
        <f t="shared" si="335"/>
        <v>102.24</v>
      </c>
      <c r="K510" s="26"/>
      <c r="L510" s="26">
        <f t="shared" si="336"/>
        <v>100</v>
      </c>
      <c r="M510" s="26"/>
    </row>
    <row r="511" spans="1:13" s="1" customFormat="1" ht="46.8">
      <c r="A511" s="60" t="s">
        <v>511</v>
      </c>
      <c r="B511" s="16">
        <v>995</v>
      </c>
      <c r="C511" s="28" t="s">
        <v>91</v>
      </c>
      <c r="D511" s="28" t="s">
        <v>1</v>
      </c>
      <c r="E511" s="28" t="s">
        <v>27</v>
      </c>
      <c r="F511" s="39">
        <f>F512</f>
        <v>5063425</v>
      </c>
      <c r="G511" s="39">
        <f t="shared" si="379"/>
        <v>5176975.8600000003</v>
      </c>
      <c r="H511" s="39">
        <f t="shared" si="379"/>
        <v>5176975.8600000003</v>
      </c>
      <c r="I511" s="39">
        <f t="shared" si="334"/>
        <v>0</v>
      </c>
      <c r="J511" s="40">
        <f t="shared" si="335"/>
        <v>102.24</v>
      </c>
      <c r="K511" s="39"/>
      <c r="L511" s="39">
        <f t="shared" si="336"/>
        <v>100</v>
      </c>
      <c r="M511" s="39"/>
    </row>
    <row r="512" spans="1:13" s="1" customFormat="1" ht="46.8">
      <c r="A512" s="60" t="s">
        <v>327</v>
      </c>
      <c r="B512" s="16">
        <v>995</v>
      </c>
      <c r="C512" s="28" t="s">
        <v>91</v>
      </c>
      <c r="D512" s="28" t="s">
        <v>326</v>
      </c>
      <c r="E512" s="28" t="s">
        <v>27</v>
      </c>
      <c r="F512" s="39">
        <f>F513+F516</f>
        <v>5063425</v>
      </c>
      <c r="G512" s="39">
        <f t="shared" ref="G512:H512" si="380">G513+G516</f>
        <v>5176975.8600000003</v>
      </c>
      <c r="H512" s="39">
        <f t="shared" si="380"/>
        <v>5176975.8600000003</v>
      </c>
      <c r="I512" s="39">
        <f t="shared" si="334"/>
        <v>0</v>
      </c>
      <c r="J512" s="40">
        <f t="shared" si="335"/>
        <v>102.24</v>
      </c>
      <c r="K512" s="39"/>
      <c r="L512" s="39">
        <f t="shared" si="336"/>
        <v>100</v>
      </c>
      <c r="M512" s="39"/>
    </row>
    <row r="513" spans="1:13" s="1" customFormat="1" ht="46.8">
      <c r="A513" s="16" t="s">
        <v>277</v>
      </c>
      <c r="B513" s="25" t="s">
        <v>63</v>
      </c>
      <c r="C513" s="25" t="s">
        <v>91</v>
      </c>
      <c r="D513" s="25" t="s">
        <v>21</v>
      </c>
      <c r="E513" s="25" t="s">
        <v>27</v>
      </c>
      <c r="F513" s="26">
        <f>F514+F515</f>
        <v>2533925</v>
      </c>
      <c r="G513" s="26">
        <f t="shared" ref="G513:H513" si="381">G514+G515</f>
        <v>2533925</v>
      </c>
      <c r="H513" s="26">
        <f t="shared" si="381"/>
        <v>2533925</v>
      </c>
      <c r="I513" s="26">
        <f t="shared" si="334"/>
        <v>0</v>
      </c>
      <c r="J513" s="27">
        <f t="shared" si="335"/>
        <v>100</v>
      </c>
      <c r="K513" s="26"/>
      <c r="L513" s="26">
        <f t="shared" si="336"/>
        <v>100</v>
      </c>
      <c r="M513" s="26"/>
    </row>
    <row r="514" spans="1:13" s="1" customFormat="1" ht="140.4">
      <c r="A514" s="18" t="s">
        <v>136</v>
      </c>
      <c r="B514" s="25" t="s">
        <v>63</v>
      </c>
      <c r="C514" s="25" t="s">
        <v>91</v>
      </c>
      <c r="D514" s="25" t="s">
        <v>21</v>
      </c>
      <c r="E514" s="25" t="s">
        <v>137</v>
      </c>
      <c r="F514" s="26">
        <f>150000</f>
        <v>150000</v>
      </c>
      <c r="G514" s="26">
        <f t="shared" ref="G514:H514" si="382">150000+13849.8+0.8</f>
        <v>163850.6</v>
      </c>
      <c r="H514" s="26">
        <f t="shared" si="382"/>
        <v>163850.6</v>
      </c>
      <c r="I514" s="26">
        <f t="shared" si="334"/>
        <v>0</v>
      </c>
      <c r="J514" s="27">
        <f t="shared" si="335"/>
        <v>109.23</v>
      </c>
      <c r="K514" s="38" t="s">
        <v>598</v>
      </c>
      <c r="L514" s="26">
        <f t="shared" si="336"/>
        <v>100</v>
      </c>
      <c r="M514" s="26"/>
    </row>
    <row r="515" spans="1:13" s="1" customFormat="1" ht="15.6">
      <c r="A515" s="18" t="s">
        <v>138</v>
      </c>
      <c r="B515" s="25" t="s">
        <v>63</v>
      </c>
      <c r="C515" s="25" t="s">
        <v>91</v>
      </c>
      <c r="D515" s="25" t="s">
        <v>21</v>
      </c>
      <c r="E515" s="25" t="s">
        <v>139</v>
      </c>
      <c r="F515" s="55">
        <f>2383925</f>
        <v>2383925</v>
      </c>
      <c r="G515" s="55">
        <f t="shared" ref="G515:H515" si="383">2383925-13849.8-0.8</f>
        <v>2370074.4</v>
      </c>
      <c r="H515" s="55">
        <f t="shared" si="383"/>
        <v>2370074.4</v>
      </c>
      <c r="I515" s="55">
        <f t="shared" si="334"/>
        <v>0</v>
      </c>
      <c r="J515" s="56">
        <f t="shared" si="335"/>
        <v>99.42</v>
      </c>
      <c r="K515" s="15"/>
      <c r="L515" s="15">
        <f t="shared" si="336"/>
        <v>100</v>
      </c>
      <c r="M515" s="15"/>
    </row>
    <row r="516" spans="1:13" s="1" customFormat="1" ht="46.8">
      <c r="A516" s="82" t="s">
        <v>329</v>
      </c>
      <c r="B516" s="25" t="s">
        <v>63</v>
      </c>
      <c r="C516" s="25" t="s">
        <v>91</v>
      </c>
      <c r="D516" s="25" t="s">
        <v>328</v>
      </c>
      <c r="E516" s="25" t="s">
        <v>27</v>
      </c>
      <c r="F516" s="39">
        <f>F517</f>
        <v>2529500</v>
      </c>
      <c r="G516" s="39">
        <f t="shared" ref="G516:H516" si="384">G517</f>
        <v>2643050.86</v>
      </c>
      <c r="H516" s="39">
        <f t="shared" si="384"/>
        <v>2643050.86</v>
      </c>
      <c r="I516" s="39">
        <f t="shared" si="334"/>
        <v>0</v>
      </c>
      <c r="J516" s="40">
        <f t="shared" si="335"/>
        <v>104.49</v>
      </c>
      <c r="K516" s="39"/>
      <c r="L516" s="39">
        <f t="shared" si="336"/>
        <v>100</v>
      </c>
      <c r="M516" s="39"/>
    </row>
    <row r="517" spans="1:13" s="1" customFormat="1" ht="15.6">
      <c r="A517" s="18" t="s">
        <v>138</v>
      </c>
      <c r="B517" s="25" t="s">
        <v>63</v>
      </c>
      <c r="C517" s="25" t="s">
        <v>91</v>
      </c>
      <c r="D517" s="25" t="s">
        <v>328</v>
      </c>
      <c r="E517" s="25" t="s">
        <v>139</v>
      </c>
      <c r="F517" s="39">
        <f>2529500</f>
        <v>2529500</v>
      </c>
      <c r="G517" s="39">
        <f t="shared" ref="G517:H517" si="385">2529500+300000-186449.14</f>
        <v>2643050.86</v>
      </c>
      <c r="H517" s="39">
        <f t="shared" si="385"/>
        <v>2643050.86</v>
      </c>
      <c r="I517" s="39">
        <f t="shared" si="334"/>
        <v>0</v>
      </c>
      <c r="J517" s="40">
        <f t="shared" si="335"/>
        <v>104.49</v>
      </c>
      <c r="K517" s="39"/>
      <c r="L517" s="39">
        <f t="shared" si="336"/>
        <v>100</v>
      </c>
      <c r="M517" s="39"/>
    </row>
    <row r="518" spans="1:13" s="1" customFormat="1" ht="15.6">
      <c r="A518" s="25" t="s">
        <v>34</v>
      </c>
      <c r="B518" s="48" t="s">
        <v>63</v>
      </c>
      <c r="C518" s="48" t="s">
        <v>49</v>
      </c>
      <c r="D518" s="48" t="s">
        <v>154</v>
      </c>
      <c r="E518" s="48" t="s">
        <v>27</v>
      </c>
      <c r="F518" s="26">
        <f>F520</f>
        <v>39138334.689999998</v>
      </c>
      <c r="G518" s="26">
        <f t="shared" ref="G518:H518" si="386">G520</f>
        <v>45185520.75</v>
      </c>
      <c r="H518" s="26">
        <f t="shared" si="386"/>
        <v>45152181.75</v>
      </c>
      <c r="I518" s="26">
        <f t="shared" si="334"/>
        <v>33339</v>
      </c>
      <c r="J518" s="27">
        <f t="shared" si="335"/>
        <v>115.37</v>
      </c>
      <c r="K518" s="26"/>
      <c r="L518" s="26">
        <f t="shared" si="336"/>
        <v>99.93</v>
      </c>
      <c r="M518" s="26"/>
    </row>
    <row r="519" spans="1:13" s="1" customFormat="1" ht="46.8">
      <c r="A519" s="18" t="s">
        <v>505</v>
      </c>
      <c r="B519" s="25" t="s">
        <v>63</v>
      </c>
      <c r="C519" s="25" t="s">
        <v>49</v>
      </c>
      <c r="D519" s="25" t="s">
        <v>0</v>
      </c>
      <c r="E519" s="25" t="s">
        <v>27</v>
      </c>
      <c r="F519" s="26">
        <f t="shared" ref="F519:H519" si="387">F520</f>
        <v>39138334.689999998</v>
      </c>
      <c r="G519" s="26">
        <f t="shared" si="387"/>
        <v>45185520.75</v>
      </c>
      <c r="H519" s="26">
        <f t="shared" si="387"/>
        <v>45152181.75</v>
      </c>
      <c r="I519" s="26">
        <f t="shared" si="334"/>
        <v>33339</v>
      </c>
      <c r="J519" s="27">
        <f t="shared" si="335"/>
        <v>115.37</v>
      </c>
      <c r="K519" s="26"/>
      <c r="L519" s="26">
        <f t="shared" si="336"/>
        <v>99.93</v>
      </c>
      <c r="M519" s="26"/>
    </row>
    <row r="520" spans="1:13" s="1" customFormat="1" ht="31.2">
      <c r="A520" s="18" t="s">
        <v>330</v>
      </c>
      <c r="B520" s="48" t="s">
        <v>63</v>
      </c>
      <c r="C520" s="25" t="s">
        <v>49</v>
      </c>
      <c r="D520" s="25" t="s">
        <v>22</v>
      </c>
      <c r="E520" s="48" t="s">
        <v>27</v>
      </c>
      <c r="F520" s="26">
        <f>F522</f>
        <v>39138334.689999998</v>
      </c>
      <c r="G520" s="26">
        <f t="shared" ref="G520:H520" si="388">G522</f>
        <v>45185520.75</v>
      </c>
      <c r="H520" s="26">
        <f t="shared" si="388"/>
        <v>45152181.75</v>
      </c>
      <c r="I520" s="26">
        <f t="shared" si="334"/>
        <v>33339</v>
      </c>
      <c r="J520" s="27">
        <f t="shared" si="335"/>
        <v>115.37</v>
      </c>
      <c r="K520" s="26"/>
      <c r="L520" s="26">
        <f t="shared" si="336"/>
        <v>99.93</v>
      </c>
      <c r="M520" s="26"/>
    </row>
    <row r="521" spans="1:13" s="1" customFormat="1" ht="62.4">
      <c r="A521" s="62" t="s">
        <v>482</v>
      </c>
      <c r="B521" s="16">
        <v>995</v>
      </c>
      <c r="C521" s="28" t="s">
        <v>49</v>
      </c>
      <c r="D521" s="28" t="s">
        <v>331</v>
      </c>
      <c r="E521" s="28" t="s">
        <v>27</v>
      </c>
      <c r="F521" s="39">
        <f>F522</f>
        <v>39138334.689999998</v>
      </c>
      <c r="G521" s="39">
        <f t="shared" ref="G521:H521" si="389">G522</f>
        <v>45185520.75</v>
      </c>
      <c r="H521" s="39">
        <f t="shared" si="389"/>
        <v>45152181.75</v>
      </c>
      <c r="I521" s="39">
        <f t="shared" si="334"/>
        <v>33339</v>
      </c>
      <c r="J521" s="40">
        <f t="shared" si="335"/>
        <v>115.37</v>
      </c>
      <c r="K521" s="39"/>
      <c r="L521" s="39">
        <f t="shared" si="336"/>
        <v>99.93</v>
      </c>
      <c r="M521" s="39"/>
    </row>
    <row r="522" spans="1:13" s="1" customFormat="1" ht="46.8">
      <c r="A522" s="18" t="s">
        <v>119</v>
      </c>
      <c r="B522" s="48" t="s">
        <v>63</v>
      </c>
      <c r="C522" s="25" t="s">
        <v>49</v>
      </c>
      <c r="D522" s="25" t="s">
        <v>23</v>
      </c>
      <c r="E522" s="48" t="s">
        <v>27</v>
      </c>
      <c r="F522" s="26">
        <f>F523+F524+F525+F526+F527+F528</f>
        <v>39138334.689999998</v>
      </c>
      <c r="G522" s="26">
        <f t="shared" ref="G522:H522" si="390">G523+G524+G525+G526+G527+G528</f>
        <v>45185520.75</v>
      </c>
      <c r="H522" s="26">
        <f t="shared" si="390"/>
        <v>45152181.75</v>
      </c>
      <c r="I522" s="26">
        <f t="shared" si="334"/>
        <v>33339</v>
      </c>
      <c r="J522" s="27">
        <f t="shared" si="335"/>
        <v>115.37</v>
      </c>
      <c r="K522" s="26"/>
      <c r="L522" s="26">
        <f t="shared" si="336"/>
        <v>99.93</v>
      </c>
      <c r="M522" s="26"/>
    </row>
    <row r="523" spans="1:13" s="1" customFormat="1" ht="15.6">
      <c r="A523" s="29" t="s">
        <v>140</v>
      </c>
      <c r="B523" s="48" t="s">
        <v>63</v>
      </c>
      <c r="C523" s="25" t="s">
        <v>49</v>
      </c>
      <c r="D523" s="25" t="s">
        <v>23</v>
      </c>
      <c r="E523" s="48" t="s">
        <v>141</v>
      </c>
      <c r="F523" s="39">
        <f>34225042.69</f>
        <v>34225042.689999998</v>
      </c>
      <c r="G523" s="39">
        <f t="shared" ref="G523" si="391">34225042.69+5733751.12-46062.23</f>
        <v>39912731.579999998</v>
      </c>
      <c r="H523" s="39">
        <v>39879392.579999998</v>
      </c>
      <c r="I523" s="39">
        <f t="shared" si="334"/>
        <v>33339</v>
      </c>
      <c r="J523" s="40">
        <f t="shared" si="335"/>
        <v>116.52</v>
      </c>
      <c r="K523" s="39"/>
      <c r="L523" s="39">
        <f t="shared" si="336"/>
        <v>99.92</v>
      </c>
      <c r="M523" s="39"/>
    </row>
    <row r="524" spans="1:13" s="1" customFormat="1" ht="31.2">
      <c r="A524" s="29" t="s">
        <v>125</v>
      </c>
      <c r="B524" s="48" t="s">
        <v>63</v>
      </c>
      <c r="C524" s="25" t="s">
        <v>49</v>
      </c>
      <c r="D524" s="25" t="s">
        <v>23</v>
      </c>
      <c r="E524" s="48" t="s">
        <v>126</v>
      </c>
      <c r="F524" s="39">
        <f>4345092</f>
        <v>4345092</v>
      </c>
      <c r="G524" s="39">
        <f t="shared" ref="G524:H524" si="392">4345092+349266+470000-53335.73</f>
        <v>5111022.2699999996</v>
      </c>
      <c r="H524" s="39">
        <f t="shared" si="392"/>
        <v>5111022.2699999996</v>
      </c>
      <c r="I524" s="39">
        <f t="shared" ref="I524:I581" si="393">$G524-$H524</f>
        <v>0</v>
      </c>
      <c r="J524" s="40">
        <f t="shared" ref="J524:J581" si="394">$H524/$F524*100</f>
        <v>117.63</v>
      </c>
      <c r="K524" s="39"/>
      <c r="L524" s="39">
        <f t="shared" ref="L524:L581" si="395">$H524/$G524*100</f>
        <v>100</v>
      </c>
      <c r="M524" s="39"/>
    </row>
    <row r="525" spans="1:13" s="1" customFormat="1" ht="31.2">
      <c r="A525" s="29" t="s">
        <v>136</v>
      </c>
      <c r="B525" s="48" t="s">
        <v>63</v>
      </c>
      <c r="C525" s="25" t="s">
        <v>49</v>
      </c>
      <c r="D525" s="25" t="s">
        <v>23</v>
      </c>
      <c r="E525" s="48" t="s">
        <v>137</v>
      </c>
      <c r="F525" s="39">
        <f>470000</f>
        <v>470000</v>
      </c>
      <c r="G525" s="39">
        <f t="shared" ref="G525:H525" si="396">470000-470000</f>
        <v>0</v>
      </c>
      <c r="H525" s="39">
        <f t="shared" si="396"/>
        <v>0</v>
      </c>
      <c r="I525" s="39">
        <f t="shared" si="393"/>
        <v>0</v>
      </c>
      <c r="J525" s="40">
        <f t="shared" si="394"/>
        <v>0</v>
      </c>
      <c r="K525" s="39"/>
      <c r="L525" s="39" t="e">
        <f t="shared" si="395"/>
        <v>#DIV/0!</v>
      </c>
      <c r="M525" s="39"/>
    </row>
    <row r="526" spans="1:13" s="1" customFormat="1" ht="15.6">
      <c r="A526" s="18" t="s">
        <v>194</v>
      </c>
      <c r="B526" s="48" t="s">
        <v>63</v>
      </c>
      <c r="C526" s="25" t="s">
        <v>49</v>
      </c>
      <c r="D526" s="25" t="s">
        <v>23</v>
      </c>
      <c r="E526" s="48" t="s">
        <v>195</v>
      </c>
      <c r="F526" s="39">
        <f>80000</f>
        <v>80000</v>
      </c>
      <c r="G526" s="39">
        <f t="shared" ref="G526:H526" si="397">80000-5000</f>
        <v>75000</v>
      </c>
      <c r="H526" s="39">
        <f t="shared" si="397"/>
        <v>75000</v>
      </c>
      <c r="I526" s="39">
        <f t="shared" si="393"/>
        <v>0</v>
      </c>
      <c r="J526" s="40">
        <f t="shared" si="394"/>
        <v>93.75</v>
      </c>
      <c r="K526" s="39"/>
      <c r="L526" s="39">
        <f t="shared" si="395"/>
        <v>100</v>
      </c>
      <c r="M526" s="39"/>
    </row>
    <row r="527" spans="1:13" s="1" customFormat="1" ht="15.6">
      <c r="A527" s="83" t="s">
        <v>191</v>
      </c>
      <c r="B527" s="48" t="s">
        <v>63</v>
      </c>
      <c r="C527" s="25" t="s">
        <v>49</v>
      </c>
      <c r="D527" s="25" t="s">
        <v>23</v>
      </c>
      <c r="E527" s="48" t="s">
        <v>131</v>
      </c>
      <c r="F527" s="39">
        <v>0</v>
      </c>
      <c r="G527" s="39">
        <v>0</v>
      </c>
      <c r="H527" s="39">
        <v>0</v>
      </c>
      <c r="I527" s="39">
        <f t="shared" si="393"/>
        <v>0</v>
      </c>
      <c r="J527" s="40" t="e">
        <f t="shared" si="394"/>
        <v>#DIV/0!</v>
      </c>
      <c r="K527" s="39"/>
      <c r="L527" s="39" t="e">
        <f t="shared" si="395"/>
        <v>#DIV/0!</v>
      </c>
      <c r="M527" s="39"/>
    </row>
    <row r="528" spans="1:13" s="1" customFormat="1" ht="15.6">
      <c r="A528" s="29" t="s">
        <v>129</v>
      </c>
      <c r="B528" s="48" t="s">
        <v>63</v>
      </c>
      <c r="C528" s="25" t="s">
        <v>49</v>
      </c>
      <c r="D528" s="25" t="s">
        <v>23</v>
      </c>
      <c r="E528" s="48" t="s">
        <v>142</v>
      </c>
      <c r="F528" s="39">
        <f>18200</f>
        <v>18200</v>
      </c>
      <c r="G528" s="39">
        <f t="shared" ref="G528:H528" si="398">18200+50960.17+18508.73-620-282</f>
        <v>86766.9</v>
      </c>
      <c r="H528" s="39">
        <f t="shared" si="398"/>
        <v>86766.9</v>
      </c>
      <c r="I528" s="39">
        <f t="shared" si="393"/>
        <v>0</v>
      </c>
      <c r="J528" s="40">
        <f t="shared" si="394"/>
        <v>476.74</v>
      </c>
      <c r="K528" s="39"/>
      <c r="L528" s="39">
        <f t="shared" si="395"/>
        <v>100</v>
      </c>
      <c r="M528" s="39"/>
    </row>
    <row r="529" spans="1:13" s="1" customFormat="1" ht="15.6">
      <c r="A529" s="22" t="s">
        <v>61</v>
      </c>
      <c r="B529" s="77" t="s">
        <v>63</v>
      </c>
      <c r="C529" s="22" t="s">
        <v>62</v>
      </c>
      <c r="D529" s="22" t="s">
        <v>154</v>
      </c>
      <c r="E529" s="77" t="s">
        <v>27</v>
      </c>
      <c r="F529" s="30">
        <f>F530+F541+F548</f>
        <v>10212512</v>
      </c>
      <c r="G529" s="30">
        <f t="shared" ref="G529:H529" si="399">G530+G541+G548</f>
        <v>5398525</v>
      </c>
      <c r="H529" s="30">
        <f t="shared" si="399"/>
        <v>5360022.1399999997</v>
      </c>
      <c r="I529" s="30">
        <f t="shared" si="393"/>
        <v>38502.86</v>
      </c>
      <c r="J529" s="31">
        <f t="shared" si="394"/>
        <v>52.48</v>
      </c>
      <c r="K529" s="30"/>
      <c r="L529" s="30">
        <f t="shared" si="395"/>
        <v>99.29</v>
      </c>
      <c r="M529" s="30"/>
    </row>
    <row r="530" spans="1:13" s="1" customFormat="1" ht="15.6">
      <c r="A530" s="18" t="s">
        <v>92</v>
      </c>
      <c r="B530" s="65" t="s">
        <v>63</v>
      </c>
      <c r="C530" s="25" t="s">
        <v>93</v>
      </c>
      <c r="D530" s="25" t="s">
        <v>154</v>
      </c>
      <c r="E530" s="25" t="s">
        <v>27</v>
      </c>
      <c r="F530" s="39">
        <f>F531</f>
        <v>3904200</v>
      </c>
      <c r="G530" s="39">
        <f t="shared" ref="G530:H530" si="400">G531</f>
        <v>1643728</v>
      </c>
      <c r="H530" s="39">
        <f t="shared" si="400"/>
        <v>1629728</v>
      </c>
      <c r="I530" s="39">
        <f t="shared" si="393"/>
        <v>14000</v>
      </c>
      <c r="J530" s="40">
        <f t="shared" si="394"/>
        <v>41.74</v>
      </c>
      <c r="K530" s="39"/>
      <c r="L530" s="39">
        <f t="shared" si="395"/>
        <v>99.15</v>
      </c>
      <c r="M530" s="39"/>
    </row>
    <row r="531" spans="1:13" s="1" customFormat="1" ht="46.8">
      <c r="A531" s="18" t="s">
        <v>505</v>
      </c>
      <c r="B531" s="25" t="s">
        <v>63</v>
      </c>
      <c r="C531" s="25" t="s">
        <v>93</v>
      </c>
      <c r="D531" s="25" t="s">
        <v>0</v>
      </c>
      <c r="E531" s="25" t="s">
        <v>27</v>
      </c>
      <c r="F531" s="26">
        <f>F532+F537</f>
        <v>3904200</v>
      </c>
      <c r="G531" s="26">
        <f t="shared" ref="G531:H531" si="401">G532+G537</f>
        <v>1643728</v>
      </c>
      <c r="H531" s="26">
        <f t="shared" si="401"/>
        <v>1629728</v>
      </c>
      <c r="I531" s="26">
        <f t="shared" si="393"/>
        <v>14000</v>
      </c>
      <c r="J531" s="27">
        <f t="shared" si="394"/>
        <v>41.74</v>
      </c>
      <c r="K531" s="26"/>
      <c r="L531" s="26">
        <f t="shared" si="395"/>
        <v>99.15</v>
      </c>
      <c r="M531" s="26"/>
    </row>
    <row r="532" spans="1:13" s="1" customFormat="1" ht="31.2">
      <c r="A532" s="18" t="s">
        <v>330</v>
      </c>
      <c r="B532" s="48" t="s">
        <v>63</v>
      </c>
      <c r="C532" s="25" t="s">
        <v>93</v>
      </c>
      <c r="D532" s="25" t="s">
        <v>22</v>
      </c>
      <c r="E532" s="48" t="s">
        <v>27</v>
      </c>
      <c r="F532" s="26">
        <f>F534</f>
        <v>874200</v>
      </c>
      <c r="G532" s="26">
        <f t="shared" ref="G532:H532" si="402">G534</f>
        <v>473728</v>
      </c>
      <c r="H532" s="26">
        <f t="shared" si="402"/>
        <v>459728</v>
      </c>
      <c r="I532" s="26">
        <f t="shared" si="393"/>
        <v>14000</v>
      </c>
      <c r="J532" s="27">
        <f t="shared" si="394"/>
        <v>52.59</v>
      </c>
      <c r="K532" s="26"/>
      <c r="L532" s="26">
        <f t="shared" si="395"/>
        <v>97.04</v>
      </c>
      <c r="M532" s="26"/>
    </row>
    <row r="533" spans="1:13" s="1" customFormat="1" ht="46.8">
      <c r="A533" s="62" t="s">
        <v>335</v>
      </c>
      <c r="B533" s="16">
        <v>995</v>
      </c>
      <c r="C533" s="28" t="s">
        <v>93</v>
      </c>
      <c r="D533" s="28" t="s">
        <v>334</v>
      </c>
      <c r="E533" s="28" t="s">
        <v>27</v>
      </c>
      <c r="F533" s="39">
        <f>F534</f>
        <v>874200</v>
      </c>
      <c r="G533" s="39">
        <f t="shared" ref="G533:H535" si="403">G534</f>
        <v>473728</v>
      </c>
      <c r="H533" s="39">
        <f t="shared" si="403"/>
        <v>459728</v>
      </c>
      <c r="I533" s="39">
        <f t="shared" si="393"/>
        <v>14000</v>
      </c>
      <c r="J533" s="40">
        <f t="shared" si="394"/>
        <v>52.59</v>
      </c>
      <c r="K533" s="39"/>
      <c r="L533" s="39">
        <f t="shared" si="395"/>
        <v>97.04</v>
      </c>
      <c r="M533" s="39"/>
    </row>
    <row r="534" spans="1:13" s="1" customFormat="1" ht="31.2" outlineLevel="5">
      <c r="A534" s="60" t="s">
        <v>483</v>
      </c>
      <c r="B534" s="65" t="s">
        <v>63</v>
      </c>
      <c r="C534" s="25" t="s">
        <v>93</v>
      </c>
      <c r="D534" s="28" t="s">
        <v>334</v>
      </c>
      <c r="E534" s="25" t="s">
        <v>27</v>
      </c>
      <c r="F534" s="39">
        <f>F535</f>
        <v>874200</v>
      </c>
      <c r="G534" s="39">
        <f t="shared" si="403"/>
        <v>473728</v>
      </c>
      <c r="H534" s="39">
        <f t="shared" si="403"/>
        <v>459728</v>
      </c>
      <c r="I534" s="39">
        <f t="shared" si="393"/>
        <v>14000</v>
      </c>
      <c r="J534" s="40">
        <f t="shared" si="394"/>
        <v>52.59</v>
      </c>
      <c r="K534" s="39"/>
      <c r="L534" s="39">
        <f t="shared" si="395"/>
        <v>97.04</v>
      </c>
      <c r="M534" s="39"/>
    </row>
    <row r="535" spans="1:13" s="1" customFormat="1" ht="31.2" outlineLevel="5">
      <c r="A535" s="16" t="s">
        <v>291</v>
      </c>
      <c r="B535" s="65" t="s">
        <v>63</v>
      </c>
      <c r="C535" s="28" t="s">
        <v>93</v>
      </c>
      <c r="D535" s="84" t="s">
        <v>512</v>
      </c>
      <c r="E535" s="25" t="s">
        <v>27</v>
      </c>
      <c r="F535" s="26">
        <f>F536</f>
        <v>874200</v>
      </c>
      <c r="G535" s="26">
        <f t="shared" si="403"/>
        <v>473728</v>
      </c>
      <c r="H535" s="26">
        <f t="shared" si="403"/>
        <v>459728</v>
      </c>
      <c r="I535" s="26">
        <f t="shared" si="393"/>
        <v>14000</v>
      </c>
      <c r="J535" s="27">
        <f t="shared" si="394"/>
        <v>52.59</v>
      </c>
      <c r="K535" s="26"/>
      <c r="L535" s="26">
        <f t="shared" si="395"/>
        <v>97.04</v>
      </c>
      <c r="M535" s="26"/>
    </row>
    <row r="536" spans="1:13" s="1" customFormat="1" ht="31.2" outlineLevel="5">
      <c r="A536" s="18" t="s">
        <v>201</v>
      </c>
      <c r="B536" s="65" t="s">
        <v>63</v>
      </c>
      <c r="C536" s="28" t="s">
        <v>93</v>
      </c>
      <c r="D536" s="84" t="s">
        <v>512</v>
      </c>
      <c r="E536" s="25" t="s">
        <v>137</v>
      </c>
      <c r="F536" s="39">
        <f>874200</f>
        <v>874200</v>
      </c>
      <c r="G536" s="39">
        <f t="shared" ref="G536" si="404">874200-400472</f>
        <v>473728</v>
      </c>
      <c r="H536" s="39">
        <v>459728</v>
      </c>
      <c r="I536" s="39">
        <f t="shared" si="393"/>
        <v>14000</v>
      </c>
      <c r="J536" s="40">
        <f t="shared" si="394"/>
        <v>52.59</v>
      </c>
      <c r="K536" s="39"/>
      <c r="L536" s="39">
        <f t="shared" si="395"/>
        <v>97.04</v>
      </c>
      <c r="M536" s="39"/>
    </row>
    <row r="537" spans="1:13" s="1" customFormat="1" ht="15.6">
      <c r="A537" s="60" t="s">
        <v>500</v>
      </c>
      <c r="B537" s="65" t="s">
        <v>63</v>
      </c>
      <c r="C537" s="28" t="s">
        <v>93</v>
      </c>
      <c r="D537" s="28" t="s">
        <v>182</v>
      </c>
      <c r="E537" s="28" t="s">
        <v>27</v>
      </c>
      <c r="F537" s="39">
        <f>F538</f>
        <v>3030000</v>
      </c>
      <c r="G537" s="39">
        <f t="shared" ref="G537:H539" si="405">G538</f>
        <v>1170000</v>
      </c>
      <c r="H537" s="39">
        <f t="shared" si="405"/>
        <v>1170000</v>
      </c>
      <c r="I537" s="39">
        <f t="shared" si="393"/>
        <v>0</v>
      </c>
      <c r="J537" s="40">
        <f t="shared" si="394"/>
        <v>38.61</v>
      </c>
      <c r="K537" s="39"/>
      <c r="L537" s="39">
        <f t="shared" si="395"/>
        <v>100</v>
      </c>
      <c r="M537" s="39"/>
    </row>
    <row r="538" spans="1:13" s="1" customFormat="1" ht="15.6">
      <c r="A538" s="60" t="s">
        <v>288</v>
      </c>
      <c r="B538" s="65" t="s">
        <v>63</v>
      </c>
      <c r="C538" s="28" t="s">
        <v>93</v>
      </c>
      <c r="D538" s="28" t="s">
        <v>203</v>
      </c>
      <c r="E538" s="28" t="s">
        <v>27</v>
      </c>
      <c r="F538" s="39">
        <f>F539</f>
        <v>3030000</v>
      </c>
      <c r="G538" s="39">
        <f t="shared" si="405"/>
        <v>1170000</v>
      </c>
      <c r="H538" s="39">
        <f t="shared" si="405"/>
        <v>1170000</v>
      </c>
      <c r="I538" s="39">
        <f t="shared" si="393"/>
        <v>0</v>
      </c>
      <c r="J538" s="40">
        <f t="shared" si="394"/>
        <v>38.61</v>
      </c>
      <c r="K538" s="39"/>
      <c r="L538" s="39">
        <f t="shared" si="395"/>
        <v>100</v>
      </c>
      <c r="M538" s="39"/>
    </row>
    <row r="539" spans="1:13" s="1" customFormat="1" ht="93.6">
      <c r="A539" s="16" t="s">
        <v>200</v>
      </c>
      <c r="B539" s="65" t="s">
        <v>63</v>
      </c>
      <c r="C539" s="28" t="s">
        <v>93</v>
      </c>
      <c r="D539" s="28" t="s">
        <v>246</v>
      </c>
      <c r="E539" s="28" t="s">
        <v>27</v>
      </c>
      <c r="F539" s="39">
        <f>F540</f>
        <v>3030000</v>
      </c>
      <c r="G539" s="39">
        <f t="shared" si="405"/>
        <v>1170000</v>
      </c>
      <c r="H539" s="39">
        <f t="shared" si="405"/>
        <v>1170000</v>
      </c>
      <c r="I539" s="39">
        <f t="shared" si="393"/>
        <v>0</v>
      </c>
      <c r="J539" s="40">
        <f t="shared" si="394"/>
        <v>38.61</v>
      </c>
      <c r="K539" s="39"/>
      <c r="L539" s="39">
        <f t="shared" si="395"/>
        <v>100</v>
      </c>
      <c r="M539" s="39"/>
    </row>
    <row r="540" spans="1:13" s="1" customFormat="1" ht="140.4">
      <c r="A540" s="16" t="s">
        <v>201</v>
      </c>
      <c r="B540" s="65" t="s">
        <v>63</v>
      </c>
      <c r="C540" s="28" t="s">
        <v>93</v>
      </c>
      <c r="D540" s="28" t="s">
        <v>246</v>
      </c>
      <c r="E540" s="28" t="s">
        <v>137</v>
      </c>
      <c r="F540" s="15">
        <f>3030000</f>
        <v>3030000</v>
      </c>
      <c r="G540" s="15">
        <f t="shared" ref="G540:H540" si="406">3030000-1860000</f>
        <v>1170000</v>
      </c>
      <c r="H540" s="15">
        <f t="shared" si="406"/>
        <v>1170000</v>
      </c>
      <c r="I540" s="15">
        <f t="shared" si="393"/>
        <v>0</v>
      </c>
      <c r="J540" s="52">
        <f t="shared" si="394"/>
        <v>38.61</v>
      </c>
      <c r="K540" s="15" t="s">
        <v>598</v>
      </c>
      <c r="L540" s="15">
        <f t="shared" si="395"/>
        <v>100</v>
      </c>
      <c r="M540" s="15"/>
    </row>
    <row r="541" spans="1:13" s="1" customFormat="1" ht="15.6">
      <c r="A541" s="25" t="s">
        <v>76</v>
      </c>
      <c r="B541" s="48" t="s">
        <v>63</v>
      </c>
      <c r="C541" s="25" t="s">
        <v>77</v>
      </c>
      <c r="D541" s="25" t="s">
        <v>154</v>
      </c>
      <c r="E541" s="48" t="s">
        <v>27</v>
      </c>
      <c r="F541" s="26">
        <f t="shared" ref="F541:H544" si="407">F542</f>
        <v>5447312</v>
      </c>
      <c r="G541" s="26">
        <f t="shared" si="407"/>
        <v>3548797</v>
      </c>
      <c r="H541" s="26">
        <f t="shared" si="407"/>
        <v>3548797</v>
      </c>
      <c r="I541" s="26">
        <f t="shared" si="393"/>
        <v>0</v>
      </c>
      <c r="J541" s="27">
        <f t="shared" si="394"/>
        <v>65.150000000000006</v>
      </c>
      <c r="K541" s="26"/>
      <c r="L541" s="26">
        <f t="shared" si="395"/>
        <v>100</v>
      </c>
      <c r="M541" s="26"/>
    </row>
    <row r="542" spans="1:13" s="1" customFormat="1" ht="46.8">
      <c r="A542" s="18" t="s">
        <v>336</v>
      </c>
      <c r="B542" s="48" t="s">
        <v>63</v>
      </c>
      <c r="C542" s="25" t="s">
        <v>77</v>
      </c>
      <c r="D542" s="25" t="s">
        <v>5</v>
      </c>
      <c r="E542" s="48" t="s">
        <v>27</v>
      </c>
      <c r="F542" s="26">
        <f t="shared" si="407"/>
        <v>5447312</v>
      </c>
      <c r="G542" s="26">
        <f t="shared" si="407"/>
        <v>3548797</v>
      </c>
      <c r="H542" s="26">
        <f t="shared" si="407"/>
        <v>3548797</v>
      </c>
      <c r="I542" s="26">
        <f t="shared" si="393"/>
        <v>0</v>
      </c>
      <c r="J542" s="27">
        <f t="shared" si="394"/>
        <v>65.150000000000006</v>
      </c>
      <c r="K542" s="26"/>
      <c r="L542" s="26">
        <f t="shared" si="395"/>
        <v>100</v>
      </c>
      <c r="M542" s="26"/>
    </row>
    <row r="543" spans="1:13" s="1" customFormat="1" ht="31.2">
      <c r="A543" s="18" t="s">
        <v>337</v>
      </c>
      <c r="B543" s="48" t="s">
        <v>63</v>
      </c>
      <c r="C543" s="25" t="s">
        <v>77</v>
      </c>
      <c r="D543" s="25" t="s">
        <v>338</v>
      </c>
      <c r="E543" s="48" t="s">
        <v>27</v>
      </c>
      <c r="F543" s="26">
        <f>F544</f>
        <v>5447312</v>
      </c>
      <c r="G543" s="26">
        <f t="shared" si="407"/>
        <v>3548797</v>
      </c>
      <c r="H543" s="26">
        <f t="shared" si="407"/>
        <v>3548797</v>
      </c>
      <c r="I543" s="26">
        <f t="shared" si="393"/>
        <v>0</v>
      </c>
      <c r="J543" s="27">
        <f t="shared" si="394"/>
        <v>65.150000000000006</v>
      </c>
      <c r="K543" s="26"/>
      <c r="L543" s="26">
        <f t="shared" si="395"/>
        <v>100</v>
      </c>
      <c r="M543" s="26"/>
    </row>
    <row r="544" spans="1:13" s="1" customFormat="1" ht="31.2">
      <c r="A544" s="18" t="s">
        <v>340</v>
      </c>
      <c r="B544" s="48" t="s">
        <v>63</v>
      </c>
      <c r="C544" s="25" t="s">
        <v>77</v>
      </c>
      <c r="D544" s="25" t="s">
        <v>383</v>
      </c>
      <c r="E544" s="48" t="s">
        <v>27</v>
      </c>
      <c r="F544" s="26">
        <f>F545</f>
        <v>5447312</v>
      </c>
      <c r="G544" s="26">
        <f t="shared" si="407"/>
        <v>3548797</v>
      </c>
      <c r="H544" s="26">
        <f t="shared" si="407"/>
        <v>3548797</v>
      </c>
      <c r="I544" s="26">
        <f t="shared" si="393"/>
        <v>0</v>
      </c>
      <c r="J544" s="27">
        <f t="shared" si="394"/>
        <v>65.150000000000006</v>
      </c>
      <c r="K544" s="26"/>
      <c r="L544" s="26">
        <f t="shared" si="395"/>
        <v>100</v>
      </c>
      <c r="M544" s="26"/>
    </row>
    <row r="545" spans="1:13" s="1" customFormat="1" ht="78">
      <c r="A545" s="18" t="s">
        <v>25</v>
      </c>
      <c r="B545" s="48" t="s">
        <v>63</v>
      </c>
      <c r="C545" s="25" t="s">
        <v>77</v>
      </c>
      <c r="D545" s="25" t="s">
        <v>384</v>
      </c>
      <c r="E545" s="48" t="s">
        <v>27</v>
      </c>
      <c r="F545" s="26">
        <f>F546+F547</f>
        <v>5447312</v>
      </c>
      <c r="G545" s="26">
        <f t="shared" ref="G545:H545" si="408">G546+G547</f>
        <v>3548797</v>
      </c>
      <c r="H545" s="26">
        <f t="shared" si="408"/>
        <v>3548797</v>
      </c>
      <c r="I545" s="26">
        <f t="shared" si="393"/>
        <v>0</v>
      </c>
      <c r="J545" s="27">
        <f t="shared" si="394"/>
        <v>65.150000000000006</v>
      </c>
      <c r="K545" s="26"/>
      <c r="L545" s="26">
        <f t="shared" si="395"/>
        <v>100</v>
      </c>
      <c r="M545" s="26"/>
    </row>
    <row r="546" spans="1:13" s="1" customFormat="1" ht="140.4">
      <c r="A546" s="29" t="s">
        <v>125</v>
      </c>
      <c r="B546" s="48" t="s">
        <v>63</v>
      </c>
      <c r="C546" s="25" t="s">
        <v>77</v>
      </c>
      <c r="D546" s="25" t="s">
        <v>384</v>
      </c>
      <c r="E546" s="48" t="s">
        <v>126</v>
      </c>
      <c r="F546" s="26">
        <f>40000</f>
        <v>40000</v>
      </c>
      <c r="G546" s="26">
        <v>34526.06</v>
      </c>
      <c r="H546" s="26">
        <v>34526.06</v>
      </c>
      <c r="I546" s="26">
        <f t="shared" si="393"/>
        <v>0</v>
      </c>
      <c r="J546" s="27">
        <f t="shared" si="394"/>
        <v>86.32</v>
      </c>
      <c r="K546" s="38" t="s">
        <v>598</v>
      </c>
      <c r="L546" s="26">
        <f t="shared" si="395"/>
        <v>100</v>
      </c>
      <c r="M546" s="26"/>
    </row>
    <row r="547" spans="1:13" s="1" customFormat="1" ht="140.4">
      <c r="A547" s="18" t="s">
        <v>201</v>
      </c>
      <c r="B547" s="48" t="s">
        <v>63</v>
      </c>
      <c r="C547" s="25" t="s">
        <v>77</v>
      </c>
      <c r="D547" s="25" t="s">
        <v>384</v>
      </c>
      <c r="E547" s="48" t="s">
        <v>137</v>
      </c>
      <c r="F547" s="38">
        <f>5407312</f>
        <v>5407312</v>
      </c>
      <c r="G547" s="38">
        <v>3514270.94</v>
      </c>
      <c r="H547" s="38">
        <v>3514270.94</v>
      </c>
      <c r="I547" s="38">
        <f t="shared" si="393"/>
        <v>0</v>
      </c>
      <c r="J547" s="50">
        <f t="shared" si="394"/>
        <v>64.989999999999995</v>
      </c>
      <c r="K547" s="38" t="s">
        <v>598</v>
      </c>
      <c r="L547" s="38">
        <f t="shared" si="395"/>
        <v>100</v>
      </c>
      <c r="M547" s="38"/>
    </row>
    <row r="548" spans="1:13" s="1" customFormat="1" ht="15.6">
      <c r="A548" s="18" t="s">
        <v>114</v>
      </c>
      <c r="B548" s="48" t="s">
        <v>63</v>
      </c>
      <c r="C548" s="25" t="s">
        <v>115</v>
      </c>
      <c r="D548" s="25" t="s">
        <v>154</v>
      </c>
      <c r="E548" s="25" t="s">
        <v>27</v>
      </c>
      <c r="F548" s="39">
        <f>F549</f>
        <v>861000</v>
      </c>
      <c r="G548" s="39">
        <f t="shared" ref="G548:H548" si="409">G549</f>
        <v>206000</v>
      </c>
      <c r="H548" s="39">
        <f t="shared" si="409"/>
        <v>181497.14</v>
      </c>
      <c r="I548" s="39">
        <f t="shared" si="393"/>
        <v>24502.86</v>
      </c>
      <c r="J548" s="40">
        <f t="shared" si="394"/>
        <v>21.08</v>
      </c>
      <c r="K548" s="39"/>
      <c r="L548" s="39">
        <f t="shared" si="395"/>
        <v>88.11</v>
      </c>
      <c r="M548" s="39"/>
    </row>
    <row r="549" spans="1:13" s="1" customFormat="1" ht="46.8">
      <c r="A549" s="18" t="s">
        <v>505</v>
      </c>
      <c r="B549" s="25" t="s">
        <v>63</v>
      </c>
      <c r="C549" s="25" t="s">
        <v>115</v>
      </c>
      <c r="D549" s="25" t="s">
        <v>0</v>
      </c>
      <c r="E549" s="25" t="s">
        <v>27</v>
      </c>
      <c r="F549" s="26">
        <f t="shared" ref="F549:H550" si="410">F550</f>
        <v>861000</v>
      </c>
      <c r="G549" s="26">
        <f t="shared" si="410"/>
        <v>206000</v>
      </c>
      <c r="H549" s="26">
        <f t="shared" si="410"/>
        <v>181497.14</v>
      </c>
      <c r="I549" s="26">
        <f t="shared" si="393"/>
        <v>24502.86</v>
      </c>
      <c r="J549" s="27">
        <f t="shared" si="394"/>
        <v>21.08</v>
      </c>
      <c r="K549" s="26"/>
      <c r="L549" s="26">
        <f t="shared" si="395"/>
        <v>88.11</v>
      </c>
      <c r="M549" s="26"/>
    </row>
    <row r="550" spans="1:13" s="1" customFormat="1" ht="31.2">
      <c r="A550" s="18" t="s">
        <v>330</v>
      </c>
      <c r="B550" s="48" t="s">
        <v>63</v>
      </c>
      <c r="C550" s="25" t="s">
        <v>115</v>
      </c>
      <c r="D550" s="25" t="s">
        <v>22</v>
      </c>
      <c r="E550" s="48" t="s">
        <v>27</v>
      </c>
      <c r="F550" s="26">
        <f>F551</f>
        <v>861000</v>
      </c>
      <c r="G550" s="26">
        <f t="shared" si="410"/>
        <v>206000</v>
      </c>
      <c r="H550" s="26">
        <f t="shared" si="410"/>
        <v>181497.14</v>
      </c>
      <c r="I550" s="26">
        <f t="shared" si="393"/>
        <v>24502.86</v>
      </c>
      <c r="J550" s="27">
        <f t="shared" si="394"/>
        <v>21.08</v>
      </c>
      <c r="K550" s="26"/>
      <c r="L550" s="26">
        <f t="shared" si="395"/>
        <v>88.11</v>
      </c>
      <c r="M550" s="26"/>
    </row>
    <row r="551" spans="1:13" s="1" customFormat="1" ht="46.8">
      <c r="A551" s="62" t="s">
        <v>335</v>
      </c>
      <c r="B551" s="16">
        <v>995</v>
      </c>
      <c r="C551" s="28" t="s">
        <v>115</v>
      </c>
      <c r="D551" s="28" t="s">
        <v>334</v>
      </c>
      <c r="E551" s="28" t="s">
        <v>27</v>
      </c>
      <c r="F551" s="39">
        <f>F552+F554</f>
        <v>861000</v>
      </c>
      <c r="G551" s="39">
        <f t="shared" ref="G551:H551" si="411">G552+G554</f>
        <v>206000</v>
      </c>
      <c r="H551" s="39">
        <f t="shared" si="411"/>
        <v>181497.14</v>
      </c>
      <c r="I551" s="39">
        <f t="shared" si="393"/>
        <v>24502.86</v>
      </c>
      <c r="J551" s="40">
        <f t="shared" si="394"/>
        <v>21.08</v>
      </c>
      <c r="K551" s="39"/>
      <c r="L551" s="39">
        <f t="shared" si="395"/>
        <v>88.11</v>
      </c>
      <c r="M551" s="39"/>
    </row>
    <row r="552" spans="1:13" s="1" customFormat="1" ht="46.8">
      <c r="A552" s="18" t="s">
        <v>428</v>
      </c>
      <c r="B552" s="48" t="s">
        <v>63</v>
      </c>
      <c r="C552" s="25" t="s">
        <v>115</v>
      </c>
      <c r="D552" s="25" t="s">
        <v>427</v>
      </c>
      <c r="E552" s="25" t="s">
        <v>27</v>
      </c>
      <c r="F552" s="39">
        <f>F553</f>
        <v>765000</v>
      </c>
      <c r="G552" s="39">
        <f t="shared" ref="G552:H552" si="412">G553</f>
        <v>110000</v>
      </c>
      <c r="H552" s="39">
        <f t="shared" si="412"/>
        <v>110000</v>
      </c>
      <c r="I552" s="39">
        <f t="shared" si="393"/>
        <v>0</v>
      </c>
      <c r="J552" s="40">
        <f t="shared" si="394"/>
        <v>14.38</v>
      </c>
      <c r="K552" s="39"/>
      <c r="L552" s="39">
        <f t="shared" si="395"/>
        <v>100</v>
      </c>
      <c r="M552" s="39"/>
    </row>
    <row r="553" spans="1:13" s="1" customFormat="1" ht="31.2">
      <c r="A553" s="18" t="s">
        <v>201</v>
      </c>
      <c r="B553" s="48" t="s">
        <v>63</v>
      </c>
      <c r="C553" s="25" t="s">
        <v>115</v>
      </c>
      <c r="D553" s="25" t="s">
        <v>427</v>
      </c>
      <c r="E553" s="25" t="s">
        <v>137</v>
      </c>
      <c r="F553" s="39">
        <f>765000</f>
        <v>765000</v>
      </c>
      <c r="G553" s="39">
        <f t="shared" ref="G553:H553" si="413">765000-655000</f>
        <v>110000</v>
      </c>
      <c r="H553" s="39">
        <f t="shared" si="413"/>
        <v>110000</v>
      </c>
      <c r="I553" s="39">
        <f t="shared" si="393"/>
        <v>0</v>
      </c>
      <c r="J553" s="40">
        <f t="shared" si="394"/>
        <v>14.38</v>
      </c>
      <c r="K553" s="39"/>
      <c r="L553" s="39">
        <f t="shared" si="395"/>
        <v>100</v>
      </c>
      <c r="M553" s="39"/>
    </row>
    <row r="554" spans="1:13" s="1" customFormat="1" ht="15.6">
      <c r="A554" s="18" t="s">
        <v>214</v>
      </c>
      <c r="B554" s="48" t="s">
        <v>63</v>
      </c>
      <c r="C554" s="25" t="s">
        <v>115</v>
      </c>
      <c r="D554" s="25" t="s">
        <v>341</v>
      </c>
      <c r="E554" s="25" t="s">
        <v>27</v>
      </c>
      <c r="F554" s="39">
        <f>F555+F556</f>
        <v>96000</v>
      </c>
      <c r="G554" s="39">
        <f t="shared" ref="G554:H554" si="414">G555+G556</f>
        <v>96000</v>
      </c>
      <c r="H554" s="39">
        <f t="shared" si="414"/>
        <v>71497.14</v>
      </c>
      <c r="I554" s="39">
        <f t="shared" si="393"/>
        <v>24502.86</v>
      </c>
      <c r="J554" s="40">
        <f t="shared" si="394"/>
        <v>74.48</v>
      </c>
      <c r="K554" s="39"/>
      <c r="L554" s="39">
        <f t="shared" si="395"/>
        <v>74.48</v>
      </c>
      <c r="M554" s="39"/>
    </row>
    <row r="555" spans="1:13" s="1" customFormat="1" ht="31.2">
      <c r="A555" s="18" t="s">
        <v>201</v>
      </c>
      <c r="B555" s="48" t="s">
        <v>63</v>
      </c>
      <c r="C555" s="25" t="s">
        <v>115</v>
      </c>
      <c r="D555" s="25" t="s">
        <v>341</v>
      </c>
      <c r="E555" s="25" t="s">
        <v>137</v>
      </c>
      <c r="F555" s="39">
        <f>96000</f>
        <v>96000</v>
      </c>
      <c r="G555" s="39">
        <f t="shared" ref="G555:H556" si="415">96000-48000</f>
        <v>48000</v>
      </c>
      <c r="H555" s="39">
        <f t="shared" si="415"/>
        <v>48000</v>
      </c>
      <c r="I555" s="39">
        <f t="shared" si="393"/>
        <v>0</v>
      </c>
      <c r="J555" s="40">
        <f t="shared" si="394"/>
        <v>50</v>
      </c>
      <c r="K555" s="39"/>
      <c r="L555" s="39">
        <f t="shared" si="395"/>
        <v>100</v>
      </c>
      <c r="M555" s="39"/>
    </row>
    <row r="556" spans="1:13" s="1" customFormat="1" ht="15.6">
      <c r="A556" s="18" t="s">
        <v>560</v>
      </c>
      <c r="B556" s="48" t="s">
        <v>63</v>
      </c>
      <c r="C556" s="25" t="s">
        <v>115</v>
      </c>
      <c r="D556" s="25" t="s">
        <v>341</v>
      </c>
      <c r="E556" s="25" t="s">
        <v>584</v>
      </c>
      <c r="F556" s="39">
        <v>0</v>
      </c>
      <c r="G556" s="39">
        <f t="shared" si="415"/>
        <v>48000</v>
      </c>
      <c r="H556" s="39">
        <v>23497.14</v>
      </c>
      <c r="I556" s="39">
        <f t="shared" si="393"/>
        <v>24502.86</v>
      </c>
      <c r="J556" s="40" t="e">
        <f t="shared" si="394"/>
        <v>#DIV/0!</v>
      </c>
      <c r="K556" s="39"/>
      <c r="L556" s="39">
        <f t="shared" si="395"/>
        <v>48.95</v>
      </c>
      <c r="M556" s="39"/>
    </row>
    <row r="557" spans="1:13" s="1" customFormat="1" ht="15.6">
      <c r="A557" s="22" t="s">
        <v>484</v>
      </c>
      <c r="B557" s="77" t="s">
        <v>65</v>
      </c>
      <c r="C557" s="22" t="s">
        <v>28</v>
      </c>
      <c r="D557" s="22" t="s">
        <v>154</v>
      </c>
      <c r="E557" s="77" t="s">
        <v>27</v>
      </c>
      <c r="F557" s="30">
        <f>F558</f>
        <v>14011716.369999999</v>
      </c>
      <c r="G557" s="30">
        <f t="shared" ref="G557:H561" si="416">G558</f>
        <v>13518165.369999999</v>
      </c>
      <c r="H557" s="30">
        <f t="shared" si="416"/>
        <v>13328625.720000001</v>
      </c>
      <c r="I557" s="30">
        <f t="shared" si="393"/>
        <v>189539.65</v>
      </c>
      <c r="J557" s="31">
        <f t="shared" si="394"/>
        <v>95.12</v>
      </c>
      <c r="K557" s="30"/>
      <c r="L557" s="30">
        <f t="shared" si="395"/>
        <v>98.6</v>
      </c>
      <c r="M557" s="30"/>
    </row>
    <row r="558" spans="1:13" s="1" customFormat="1" ht="15.6">
      <c r="A558" s="22" t="s">
        <v>29</v>
      </c>
      <c r="B558" s="77" t="s">
        <v>65</v>
      </c>
      <c r="C558" s="22" t="s">
        <v>51</v>
      </c>
      <c r="D558" s="22" t="s">
        <v>154</v>
      </c>
      <c r="E558" s="77" t="s">
        <v>27</v>
      </c>
      <c r="F558" s="30">
        <f>F559</f>
        <v>14011716.369999999</v>
      </c>
      <c r="G558" s="30">
        <f t="shared" si="416"/>
        <v>13518165.369999999</v>
      </c>
      <c r="H558" s="30">
        <f t="shared" si="416"/>
        <v>13328625.720000001</v>
      </c>
      <c r="I558" s="30">
        <f t="shared" si="393"/>
        <v>189539.65</v>
      </c>
      <c r="J558" s="31">
        <f t="shared" si="394"/>
        <v>95.12</v>
      </c>
      <c r="K558" s="30"/>
      <c r="L558" s="30">
        <f t="shared" si="395"/>
        <v>98.6</v>
      </c>
      <c r="M558" s="30"/>
    </row>
    <row r="559" spans="1:13" s="2" customFormat="1" ht="62.4">
      <c r="A559" s="18" t="s">
        <v>43</v>
      </c>
      <c r="B559" s="18">
        <v>996</v>
      </c>
      <c r="C559" s="25" t="s">
        <v>56</v>
      </c>
      <c r="D559" s="18" t="s">
        <v>154</v>
      </c>
      <c r="E559" s="25" t="s">
        <v>27</v>
      </c>
      <c r="F559" s="26">
        <f>F560</f>
        <v>14011716.369999999</v>
      </c>
      <c r="G559" s="26">
        <f t="shared" si="416"/>
        <v>13518165.369999999</v>
      </c>
      <c r="H559" s="26">
        <f t="shared" si="416"/>
        <v>13328625.720000001</v>
      </c>
      <c r="I559" s="26">
        <f t="shared" si="393"/>
        <v>189539.65</v>
      </c>
      <c r="J559" s="27">
        <f t="shared" si="394"/>
        <v>95.12</v>
      </c>
      <c r="K559" s="26"/>
      <c r="L559" s="26">
        <f t="shared" si="395"/>
        <v>98.6</v>
      </c>
      <c r="M559" s="26"/>
    </row>
    <row r="560" spans="1:13" s="2" customFormat="1" ht="46.8">
      <c r="A560" s="28" t="s">
        <v>358</v>
      </c>
      <c r="B560" s="18">
        <v>996</v>
      </c>
      <c r="C560" s="25" t="s">
        <v>56</v>
      </c>
      <c r="D560" s="18" t="s">
        <v>155</v>
      </c>
      <c r="E560" s="25" t="s">
        <v>27</v>
      </c>
      <c r="F560" s="26">
        <f>F561</f>
        <v>14011716.369999999</v>
      </c>
      <c r="G560" s="26">
        <f t="shared" si="416"/>
        <v>13518165.369999999</v>
      </c>
      <c r="H560" s="26">
        <f t="shared" si="416"/>
        <v>13328625.720000001</v>
      </c>
      <c r="I560" s="26">
        <f t="shared" si="393"/>
        <v>189539.65</v>
      </c>
      <c r="J560" s="27">
        <f t="shared" si="394"/>
        <v>95.12</v>
      </c>
      <c r="K560" s="26"/>
      <c r="L560" s="26">
        <f t="shared" si="395"/>
        <v>98.6</v>
      </c>
      <c r="M560" s="26"/>
    </row>
    <row r="561" spans="1:13" s="1" customFormat="1" ht="31.2">
      <c r="A561" s="18" t="s">
        <v>356</v>
      </c>
      <c r="B561" s="18">
        <v>996</v>
      </c>
      <c r="C561" s="25" t="s">
        <v>71</v>
      </c>
      <c r="D561" s="18" t="s">
        <v>284</v>
      </c>
      <c r="E561" s="25" t="s">
        <v>27</v>
      </c>
      <c r="F561" s="26">
        <f>F562</f>
        <v>14011716.369999999</v>
      </c>
      <c r="G561" s="26">
        <f t="shared" si="416"/>
        <v>13518165.369999999</v>
      </c>
      <c r="H561" s="26">
        <f t="shared" si="416"/>
        <v>13328625.720000001</v>
      </c>
      <c r="I561" s="26">
        <f t="shared" si="393"/>
        <v>189539.65</v>
      </c>
      <c r="J561" s="27">
        <f t="shared" si="394"/>
        <v>95.12</v>
      </c>
      <c r="K561" s="26"/>
      <c r="L561" s="26">
        <f t="shared" si="395"/>
        <v>98.6</v>
      </c>
      <c r="M561" s="26"/>
    </row>
    <row r="562" spans="1:13" s="1" customFormat="1" ht="15.6">
      <c r="A562" s="18" t="s">
        <v>357</v>
      </c>
      <c r="B562" s="18">
        <v>996</v>
      </c>
      <c r="C562" s="25" t="s">
        <v>71</v>
      </c>
      <c r="D562" s="18" t="s">
        <v>281</v>
      </c>
      <c r="E562" s="25" t="s">
        <v>27</v>
      </c>
      <c r="F562" s="26">
        <f>F563+F567+F569</f>
        <v>14011716.369999999</v>
      </c>
      <c r="G562" s="26">
        <f t="shared" ref="G562:H562" si="417">G563+G567+G569</f>
        <v>13518165.369999999</v>
      </c>
      <c r="H562" s="26">
        <f t="shared" si="417"/>
        <v>13328625.720000001</v>
      </c>
      <c r="I562" s="26">
        <f t="shared" si="393"/>
        <v>189539.65</v>
      </c>
      <c r="J562" s="27">
        <f t="shared" si="394"/>
        <v>95.12</v>
      </c>
      <c r="K562" s="26"/>
      <c r="L562" s="26">
        <f t="shared" si="395"/>
        <v>98.6</v>
      </c>
      <c r="M562" s="26"/>
    </row>
    <row r="563" spans="1:13" s="1" customFormat="1" ht="31.2">
      <c r="A563" s="18" t="s">
        <v>100</v>
      </c>
      <c r="B563" s="18">
        <v>996</v>
      </c>
      <c r="C563" s="25" t="s">
        <v>56</v>
      </c>
      <c r="D563" s="18" t="s">
        <v>219</v>
      </c>
      <c r="E563" s="25" t="s">
        <v>27</v>
      </c>
      <c r="F563" s="26">
        <f>F564+F565+F566</f>
        <v>8513563</v>
      </c>
      <c r="G563" s="26">
        <f t="shared" ref="G563:H563" si="418">G564+G565+G566</f>
        <v>8340942</v>
      </c>
      <c r="H563" s="26">
        <f t="shared" si="418"/>
        <v>8221094.7000000002</v>
      </c>
      <c r="I563" s="26">
        <f t="shared" si="393"/>
        <v>119847.3</v>
      </c>
      <c r="J563" s="27">
        <f t="shared" si="394"/>
        <v>96.56</v>
      </c>
      <c r="K563" s="26"/>
      <c r="L563" s="26">
        <f t="shared" si="395"/>
        <v>98.56</v>
      </c>
      <c r="M563" s="26"/>
    </row>
    <row r="564" spans="1:13" s="1" customFormat="1" ht="31.2">
      <c r="A564" s="18" t="s">
        <v>127</v>
      </c>
      <c r="B564" s="18">
        <v>996</v>
      </c>
      <c r="C564" s="25" t="s">
        <v>56</v>
      </c>
      <c r="D564" s="18" t="s">
        <v>219</v>
      </c>
      <c r="E564" s="18">
        <v>120</v>
      </c>
      <c r="F564" s="39">
        <f>6883963</f>
        <v>6883963</v>
      </c>
      <c r="G564" s="39">
        <f t="shared" ref="G564" si="419">6883963+205000+61900-23000-130000+17000</f>
        <v>7014863</v>
      </c>
      <c r="H564" s="39">
        <v>6895967.0499999998</v>
      </c>
      <c r="I564" s="39">
        <f t="shared" si="393"/>
        <v>118895.95</v>
      </c>
      <c r="J564" s="40">
        <f t="shared" si="394"/>
        <v>100.17</v>
      </c>
      <c r="K564" s="39"/>
      <c r="L564" s="39">
        <f t="shared" si="395"/>
        <v>98.31</v>
      </c>
      <c r="M564" s="39"/>
    </row>
    <row r="565" spans="1:13" s="1" customFormat="1" ht="31.2">
      <c r="A565" s="29" t="s">
        <v>125</v>
      </c>
      <c r="B565" s="18">
        <v>996</v>
      </c>
      <c r="C565" s="25" t="s">
        <v>56</v>
      </c>
      <c r="D565" s="18" t="s">
        <v>219</v>
      </c>
      <c r="E565" s="18">
        <v>240</v>
      </c>
      <c r="F565" s="39">
        <f>1604600</f>
        <v>1604600</v>
      </c>
      <c r="G565" s="39">
        <f t="shared" ref="G565" si="420">1604600-281111</f>
        <v>1323489</v>
      </c>
      <c r="H565" s="39">
        <v>1322537.6499999999</v>
      </c>
      <c r="I565" s="39">
        <f t="shared" si="393"/>
        <v>951.35</v>
      </c>
      <c r="J565" s="40">
        <f t="shared" si="394"/>
        <v>82.42</v>
      </c>
      <c r="K565" s="39"/>
      <c r="L565" s="39">
        <f t="shared" si="395"/>
        <v>99.93</v>
      </c>
      <c r="M565" s="39"/>
    </row>
    <row r="566" spans="1:13" s="1" customFormat="1" ht="15.6">
      <c r="A566" s="29" t="s">
        <v>129</v>
      </c>
      <c r="B566" s="18">
        <v>996</v>
      </c>
      <c r="C566" s="25" t="s">
        <v>56</v>
      </c>
      <c r="D566" s="18" t="s">
        <v>219</v>
      </c>
      <c r="E566" s="18">
        <v>850</v>
      </c>
      <c r="F566" s="39">
        <f>25000</f>
        <v>25000</v>
      </c>
      <c r="G566" s="39">
        <f t="shared" ref="G566" si="421">25000-22410</f>
        <v>2590</v>
      </c>
      <c r="H566" s="39">
        <v>2590</v>
      </c>
      <c r="I566" s="39">
        <f t="shared" si="393"/>
        <v>0</v>
      </c>
      <c r="J566" s="40">
        <f t="shared" si="394"/>
        <v>10.36</v>
      </c>
      <c r="K566" s="39"/>
      <c r="L566" s="39">
        <f t="shared" si="395"/>
        <v>100</v>
      </c>
      <c r="M566" s="39"/>
    </row>
    <row r="567" spans="1:13" s="1" customFormat="1" ht="15.6">
      <c r="A567" s="18" t="s">
        <v>485</v>
      </c>
      <c r="B567" s="18">
        <v>996</v>
      </c>
      <c r="C567" s="25" t="s">
        <v>56</v>
      </c>
      <c r="D567" s="18" t="s">
        <v>220</v>
      </c>
      <c r="E567" s="25" t="s">
        <v>27</v>
      </c>
      <c r="F567" s="26">
        <f t="shared" ref="F567:H567" si="422">F568</f>
        <v>3025000</v>
      </c>
      <c r="G567" s="26">
        <f t="shared" si="422"/>
        <v>3385600</v>
      </c>
      <c r="H567" s="26">
        <f t="shared" si="422"/>
        <v>3315913.54</v>
      </c>
      <c r="I567" s="26">
        <f t="shared" si="393"/>
        <v>69686.460000000006</v>
      </c>
      <c r="J567" s="27">
        <f t="shared" si="394"/>
        <v>109.62</v>
      </c>
      <c r="K567" s="26"/>
      <c r="L567" s="26">
        <f t="shared" si="395"/>
        <v>97.94</v>
      </c>
      <c r="M567" s="26"/>
    </row>
    <row r="568" spans="1:13" s="1" customFormat="1" ht="31.2">
      <c r="A568" s="18" t="s">
        <v>127</v>
      </c>
      <c r="B568" s="18">
        <v>996</v>
      </c>
      <c r="C568" s="25" t="s">
        <v>56</v>
      </c>
      <c r="D568" s="18" t="s">
        <v>220</v>
      </c>
      <c r="E568" s="18">
        <v>120</v>
      </c>
      <c r="F568" s="39">
        <f>3025000</f>
        <v>3025000</v>
      </c>
      <c r="G568" s="39">
        <f t="shared" ref="G568" si="423">3025000+277000+83600</f>
        <v>3385600</v>
      </c>
      <c r="H568" s="39">
        <v>3315913.54</v>
      </c>
      <c r="I568" s="39">
        <f t="shared" si="393"/>
        <v>69686.460000000006</v>
      </c>
      <c r="J568" s="40">
        <f t="shared" si="394"/>
        <v>109.62</v>
      </c>
      <c r="K568" s="39"/>
      <c r="L568" s="39">
        <f t="shared" si="395"/>
        <v>97.94</v>
      </c>
      <c r="M568" s="39"/>
    </row>
    <row r="569" spans="1:13" s="1" customFormat="1" ht="15.6">
      <c r="A569" s="18" t="s">
        <v>486</v>
      </c>
      <c r="B569" s="18">
        <v>996</v>
      </c>
      <c r="C569" s="25" t="s">
        <v>56</v>
      </c>
      <c r="D569" s="18" t="s">
        <v>26</v>
      </c>
      <c r="E569" s="25" t="s">
        <v>27</v>
      </c>
      <c r="F569" s="26">
        <f t="shared" ref="F569:H569" si="424">F570</f>
        <v>2473153.37</v>
      </c>
      <c r="G569" s="26">
        <f t="shared" si="424"/>
        <v>1791623.37</v>
      </c>
      <c r="H569" s="26">
        <f t="shared" si="424"/>
        <v>1791617.48</v>
      </c>
      <c r="I569" s="26">
        <f t="shared" si="393"/>
        <v>5.89</v>
      </c>
      <c r="J569" s="27">
        <f t="shared" si="394"/>
        <v>72.44</v>
      </c>
      <c r="K569" s="26"/>
      <c r="L569" s="26">
        <f t="shared" si="395"/>
        <v>100</v>
      </c>
      <c r="M569" s="26"/>
    </row>
    <row r="570" spans="1:13" s="1" customFormat="1" ht="31.2">
      <c r="A570" s="18" t="s">
        <v>127</v>
      </c>
      <c r="B570" s="18">
        <v>996</v>
      </c>
      <c r="C570" s="25" t="s">
        <v>56</v>
      </c>
      <c r="D570" s="18" t="s">
        <v>26</v>
      </c>
      <c r="E570" s="25" t="s">
        <v>128</v>
      </c>
      <c r="F570" s="39">
        <f>2473153.37</f>
        <v>2473153.37</v>
      </c>
      <c r="G570" s="39">
        <f t="shared" ref="G570" si="425">2473153.37-482000-145500-64030+10000</f>
        <v>1791623.37</v>
      </c>
      <c r="H570" s="39">
        <v>1791617.48</v>
      </c>
      <c r="I570" s="39">
        <f t="shared" si="393"/>
        <v>5.89</v>
      </c>
      <c r="J570" s="40">
        <f t="shared" si="394"/>
        <v>72.44</v>
      </c>
      <c r="K570" s="39"/>
      <c r="L570" s="39">
        <f t="shared" si="395"/>
        <v>100</v>
      </c>
      <c r="M570" s="39"/>
    </row>
    <row r="571" spans="1:13" s="1" customFormat="1" ht="46.8">
      <c r="A571" s="21" t="s">
        <v>519</v>
      </c>
      <c r="B571" s="21">
        <v>998</v>
      </c>
      <c r="C571" s="22" t="s">
        <v>28</v>
      </c>
      <c r="D571" s="21" t="s">
        <v>154</v>
      </c>
      <c r="E571" s="22" t="s">
        <v>27</v>
      </c>
      <c r="F571" s="30">
        <f>F572</f>
        <v>117996328.59999999</v>
      </c>
      <c r="G571" s="30">
        <f t="shared" ref="G571:H575" si="426">G572</f>
        <v>129317594.41</v>
      </c>
      <c r="H571" s="30">
        <f t="shared" si="426"/>
        <v>127694315.65000001</v>
      </c>
      <c r="I571" s="30">
        <f t="shared" si="393"/>
        <v>1623278.76</v>
      </c>
      <c r="J571" s="31">
        <f t="shared" si="394"/>
        <v>108.22</v>
      </c>
      <c r="K571" s="30"/>
      <c r="L571" s="30">
        <f t="shared" si="395"/>
        <v>98.74</v>
      </c>
      <c r="M571" s="30"/>
    </row>
    <row r="572" spans="1:13" s="1" customFormat="1" ht="46.8">
      <c r="A572" s="21" t="s">
        <v>78</v>
      </c>
      <c r="B572" s="21">
        <v>998</v>
      </c>
      <c r="C572" s="22" t="s">
        <v>71</v>
      </c>
      <c r="D572" s="21" t="s">
        <v>154</v>
      </c>
      <c r="E572" s="22" t="s">
        <v>27</v>
      </c>
      <c r="F572" s="30">
        <f>F573</f>
        <v>117996328.59999999</v>
      </c>
      <c r="G572" s="30">
        <f t="shared" si="426"/>
        <v>129317594.41</v>
      </c>
      <c r="H572" s="30">
        <f t="shared" si="426"/>
        <v>127694315.65000001</v>
      </c>
      <c r="I572" s="30">
        <f t="shared" si="393"/>
        <v>1623278.76</v>
      </c>
      <c r="J572" s="31">
        <f t="shared" si="394"/>
        <v>108.22</v>
      </c>
      <c r="K572" s="30"/>
      <c r="L572" s="30">
        <f t="shared" si="395"/>
        <v>98.74</v>
      </c>
      <c r="M572" s="30"/>
    </row>
    <row r="573" spans="1:13" s="1" customFormat="1" ht="46.8">
      <c r="A573" s="28" t="s">
        <v>358</v>
      </c>
      <c r="B573" s="18">
        <v>998</v>
      </c>
      <c r="C573" s="25" t="s">
        <v>71</v>
      </c>
      <c r="D573" s="18" t="s">
        <v>155</v>
      </c>
      <c r="E573" s="25" t="s">
        <v>27</v>
      </c>
      <c r="F573" s="26">
        <f>F574</f>
        <v>117996328.59999999</v>
      </c>
      <c r="G573" s="26">
        <f t="shared" si="426"/>
        <v>129317594.41</v>
      </c>
      <c r="H573" s="26">
        <f t="shared" si="426"/>
        <v>127694315.65000001</v>
      </c>
      <c r="I573" s="26">
        <f t="shared" si="393"/>
        <v>1623278.76</v>
      </c>
      <c r="J573" s="27">
        <f t="shared" si="394"/>
        <v>108.22</v>
      </c>
      <c r="K573" s="26"/>
      <c r="L573" s="26">
        <f t="shared" si="395"/>
        <v>98.74</v>
      </c>
      <c r="M573" s="26"/>
    </row>
    <row r="574" spans="1:13" s="1" customFormat="1" ht="31.2">
      <c r="A574" s="18" t="s">
        <v>356</v>
      </c>
      <c r="B574" s="18">
        <v>998</v>
      </c>
      <c r="C574" s="25" t="s">
        <v>71</v>
      </c>
      <c r="D574" s="18" t="s">
        <v>284</v>
      </c>
      <c r="E574" s="25" t="s">
        <v>27</v>
      </c>
      <c r="F574" s="26">
        <f>F575</f>
        <v>117996328.59999999</v>
      </c>
      <c r="G574" s="26">
        <f t="shared" si="426"/>
        <v>129317594.41</v>
      </c>
      <c r="H574" s="26">
        <f t="shared" si="426"/>
        <v>127694315.65000001</v>
      </c>
      <c r="I574" s="26">
        <f t="shared" si="393"/>
        <v>1623278.76</v>
      </c>
      <c r="J574" s="27">
        <f t="shared" si="394"/>
        <v>108.22</v>
      </c>
      <c r="K574" s="26"/>
      <c r="L574" s="26">
        <f t="shared" si="395"/>
        <v>98.74</v>
      </c>
      <c r="M574" s="26"/>
    </row>
    <row r="575" spans="1:13" s="1" customFormat="1" ht="15.6">
      <c r="A575" s="18" t="s">
        <v>357</v>
      </c>
      <c r="B575" s="18">
        <v>998</v>
      </c>
      <c r="C575" s="25" t="s">
        <v>71</v>
      </c>
      <c r="D575" s="18" t="s">
        <v>281</v>
      </c>
      <c r="E575" s="25" t="s">
        <v>27</v>
      </c>
      <c r="F575" s="26">
        <f>F576</f>
        <v>117996328.59999999</v>
      </c>
      <c r="G575" s="26">
        <f t="shared" si="426"/>
        <v>129317594.41</v>
      </c>
      <c r="H575" s="26">
        <f t="shared" si="426"/>
        <v>127694315.65000001</v>
      </c>
      <c r="I575" s="26">
        <f t="shared" si="393"/>
        <v>1623278.76</v>
      </c>
      <c r="J575" s="27">
        <f t="shared" si="394"/>
        <v>108.22</v>
      </c>
      <c r="K575" s="26"/>
      <c r="L575" s="26">
        <f t="shared" si="395"/>
        <v>98.74</v>
      </c>
      <c r="M575" s="26"/>
    </row>
    <row r="576" spans="1:13" s="1" customFormat="1" ht="46.8">
      <c r="A576" s="18" t="s">
        <v>119</v>
      </c>
      <c r="B576" s="18">
        <v>998</v>
      </c>
      <c r="C576" s="25" t="s">
        <v>71</v>
      </c>
      <c r="D576" s="18" t="s">
        <v>225</v>
      </c>
      <c r="E576" s="25" t="s">
        <v>27</v>
      </c>
      <c r="F576" s="26">
        <f>F577+F578+F579+F580</f>
        <v>117996328.59999999</v>
      </c>
      <c r="G576" s="26">
        <f t="shared" ref="G576:H576" si="427">G577+G578+G579+G580</f>
        <v>129317594.41</v>
      </c>
      <c r="H576" s="26">
        <f t="shared" si="427"/>
        <v>127694315.65000001</v>
      </c>
      <c r="I576" s="26">
        <f t="shared" si="393"/>
        <v>1623278.76</v>
      </c>
      <c r="J576" s="27">
        <f t="shared" si="394"/>
        <v>108.22</v>
      </c>
      <c r="K576" s="26"/>
      <c r="L576" s="26">
        <f t="shared" si="395"/>
        <v>98.74</v>
      </c>
      <c r="M576" s="26"/>
    </row>
    <row r="577" spans="1:13" s="1" customFormat="1" ht="15.6">
      <c r="A577" s="29" t="s">
        <v>140</v>
      </c>
      <c r="B577" s="18">
        <v>998</v>
      </c>
      <c r="C577" s="25" t="s">
        <v>71</v>
      </c>
      <c r="D577" s="18" t="s">
        <v>225</v>
      </c>
      <c r="E577" s="25" t="s">
        <v>141</v>
      </c>
      <c r="F577" s="39">
        <f>81110616</f>
        <v>81110616</v>
      </c>
      <c r="G577" s="39">
        <f t="shared" ref="G577" si="428">81110616+1437385.3+4852425.86+5014290.17+2682452.99-1670322</f>
        <v>93426848.319999993</v>
      </c>
      <c r="H577" s="39">
        <v>93426841.420000002</v>
      </c>
      <c r="I577" s="39">
        <f t="shared" si="393"/>
        <v>6.9</v>
      </c>
      <c r="J577" s="40">
        <f t="shared" si="394"/>
        <v>115.18</v>
      </c>
      <c r="K577" s="39"/>
      <c r="L577" s="39">
        <f t="shared" si="395"/>
        <v>100</v>
      </c>
      <c r="M577" s="39"/>
    </row>
    <row r="578" spans="1:13" s="1" customFormat="1" ht="31.2">
      <c r="A578" s="29" t="s">
        <v>125</v>
      </c>
      <c r="B578" s="18">
        <v>998</v>
      </c>
      <c r="C578" s="25" t="s">
        <v>71</v>
      </c>
      <c r="D578" s="18" t="s">
        <v>225</v>
      </c>
      <c r="E578" s="25" t="s">
        <v>126</v>
      </c>
      <c r="F578" s="39">
        <f>36150746.6</f>
        <v>36150746.600000001</v>
      </c>
      <c r="G578" s="39">
        <v>35665646.859999999</v>
      </c>
      <c r="H578" s="39">
        <v>34042375</v>
      </c>
      <c r="I578" s="39">
        <f t="shared" si="393"/>
        <v>1623271.86</v>
      </c>
      <c r="J578" s="40">
        <f t="shared" si="394"/>
        <v>94.17</v>
      </c>
      <c r="K578" s="39"/>
      <c r="L578" s="39">
        <f t="shared" si="395"/>
        <v>95.45</v>
      </c>
      <c r="M578" s="39"/>
    </row>
    <row r="579" spans="1:13" s="1" customFormat="1" ht="15.6">
      <c r="A579" s="83" t="s">
        <v>191</v>
      </c>
      <c r="B579" s="18">
        <v>998</v>
      </c>
      <c r="C579" s="25" t="s">
        <v>71</v>
      </c>
      <c r="D579" s="18" t="s">
        <v>225</v>
      </c>
      <c r="E579" s="25" t="s">
        <v>131</v>
      </c>
      <c r="F579" s="39">
        <f>89840</f>
        <v>89840</v>
      </c>
      <c r="G579" s="39">
        <v>16196.55</v>
      </c>
      <c r="H579" s="39">
        <v>16196.55</v>
      </c>
      <c r="I579" s="39">
        <f t="shared" si="393"/>
        <v>0</v>
      </c>
      <c r="J579" s="40">
        <f t="shared" si="394"/>
        <v>18.03</v>
      </c>
      <c r="K579" s="39"/>
      <c r="L579" s="39">
        <f t="shared" si="395"/>
        <v>100</v>
      </c>
      <c r="M579" s="39"/>
    </row>
    <row r="580" spans="1:13" s="1" customFormat="1" ht="15.6">
      <c r="A580" s="29" t="s">
        <v>129</v>
      </c>
      <c r="B580" s="18">
        <v>998</v>
      </c>
      <c r="C580" s="25" t="s">
        <v>71</v>
      </c>
      <c r="D580" s="18" t="s">
        <v>225</v>
      </c>
      <c r="E580" s="25" t="s">
        <v>142</v>
      </c>
      <c r="F580" s="39">
        <f>645126</f>
        <v>645126</v>
      </c>
      <c r="G580" s="39">
        <v>208902.68</v>
      </c>
      <c r="H580" s="39">
        <v>208902.68</v>
      </c>
      <c r="I580" s="39">
        <f t="shared" si="393"/>
        <v>0</v>
      </c>
      <c r="J580" s="40">
        <f t="shared" si="394"/>
        <v>32.380000000000003</v>
      </c>
      <c r="K580" s="39"/>
      <c r="L580" s="39">
        <f t="shared" si="395"/>
        <v>100</v>
      </c>
      <c r="M580" s="39"/>
    </row>
    <row r="581" spans="1:13" s="1" customFormat="1" ht="15.6">
      <c r="A581" s="21" t="s">
        <v>66</v>
      </c>
      <c r="B581" s="21"/>
      <c r="C581" s="22"/>
      <c r="D581" s="21"/>
      <c r="E581" s="22"/>
      <c r="F581" s="30">
        <f>F9+F20+F381+F440+F557+F571</f>
        <v>1418604592.0899999</v>
      </c>
      <c r="G581" s="30">
        <f>G9+G20+G381+G440+G557+G571</f>
        <v>1515605691.3099999</v>
      </c>
      <c r="H581" s="30">
        <f>H9+H20+H381+H440+H557+H571</f>
        <v>1481251651.75</v>
      </c>
      <c r="I581" s="30">
        <f t="shared" si="393"/>
        <v>34354039.560000002</v>
      </c>
      <c r="J581" s="31">
        <f t="shared" si="394"/>
        <v>104.42</v>
      </c>
      <c r="K581" s="30"/>
      <c r="L581" s="30">
        <f t="shared" si="395"/>
        <v>97.73</v>
      </c>
      <c r="M581" s="30"/>
    </row>
    <row r="582" spans="1:13" s="2" customFormat="1" ht="15.6">
      <c r="A582" s="1"/>
      <c r="B582" s="1"/>
      <c r="C582" s="1"/>
      <c r="D582" s="1"/>
      <c r="E582" s="1"/>
      <c r="F582" s="1"/>
      <c r="G582" s="3"/>
    </row>
    <row r="583" spans="1:13" s="2" customFormat="1" ht="15.6">
      <c r="A583" s="1"/>
      <c r="B583" s="1"/>
      <c r="C583" s="1"/>
      <c r="D583" s="1"/>
      <c r="E583" s="1"/>
      <c r="F583" s="1"/>
      <c r="G583" s="3"/>
    </row>
    <row r="584" spans="1:13" s="2" customFormat="1" ht="15.6">
      <c r="A584" s="1"/>
      <c r="B584" s="1"/>
      <c r="C584" s="1"/>
      <c r="D584" s="1"/>
      <c r="E584" s="1"/>
      <c r="F584" s="1"/>
      <c r="G584" s="3"/>
    </row>
    <row r="585" spans="1:13" s="2" customFormat="1" ht="15.6">
      <c r="A585" s="1"/>
      <c r="B585" s="1"/>
      <c r="C585" s="1"/>
      <c r="D585" s="1"/>
      <c r="E585" s="1"/>
      <c r="F585" s="1"/>
      <c r="G585" s="3"/>
    </row>
    <row r="586" spans="1:13" s="2" customFormat="1" ht="18.75" customHeight="1">
      <c r="A586" s="1"/>
      <c r="B586" s="1"/>
      <c r="C586" s="1"/>
      <c r="D586" s="1"/>
      <c r="E586" s="1"/>
      <c r="F586" s="1"/>
      <c r="G586" s="3"/>
    </row>
    <row r="587" spans="1:13" s="2" customFormat="1" ht="23.7" customHeight="1">
      <c r="A587" s="1"/>
      <c r="B587" s="1"/>
      <c r="C587" s="1"/>
      <c r="D587" s="1"/>
      <c r="E587" s="1"/>
      <c r="F587" s="1"/>
      <c r="G587" s="3"/>
    </row>
    <row r="588" spans="1:13" s="2" customFormat="1" ht="15" customHeight="1">
      <c r="A588" s="1"/>
      <c r="B588" s="1"/>
      <c r="C588" s="1"/>
      <c r="D588" s="1"/>
      <c r="E588" s="1"/>
      <c r="F588" s="1"/>
      <c r="G588" s="3"/>
    </row>
    <row r="589" spans="1:13" s="2" customFormat="1" ht="15.6">
      <c r="A589" s="1"/>
      <c r="B589" s="1"/>
      <c r="C589" s="1"/>
      <c r="D589" s="1"/>
      <c r="E589" s="1"/>
      <c r="F589" s="1"/>
      <c r="G589" s="3"/>
    </row>
    <row r="590" spans="1:13" s="2" customFormat="1" ht="15.9" customHeight="1">
      <c r="A590" s="1"/>
      <c r="B590" s="1"/>
      <c r="C590" s="1"/>
      <c r="D590" s="1"/>
      <c r="E590" s="1"/>
      <c r="F590" s="1"/>
      <c r="G590" s="3"/>
    </row>
    <row r="591" spans="1:13" ht="15">
      <c r="A591" s="1"/>
      <c r="B591" s="1"/>
      <c r="C591" s="1"/>
      <c r="D591" s="1"/>
      <c r="E591" s="1"/>
      <c r="F591" s="1"/>
      <c r="G591" s="3"/>
    </row>
    <row r="592" spans="1:13" ht="12.9" customHeight="1">
      <c r="A592" s="1"/>
      <c r="B592" s="1"/>
      <c r="C592" s="1"/>
      <c r="D592" s="1"/>
      <c r="E592" s="1"/>
      <c r="F592" s="1"/>
      <c r="G592" s="3"/>
    </row>
    <row r="593" spans="1:7" ht="15">
      <c r="A593" s="1"/>
      <c r="B593" s="1"/>
      <c r="C593" s="1"/>
      <c r="D593" s="1"/>
      <c r="E593" s="1"/>
      <c r="F593" s="1"/>
      <c r="G593" s="3"/>
    </row>
    <row r="594" spans="1:7" ht="15">
      <c r="A594" s="1"/>
      <c r="B594" s="1"/>
      <c r="C594" s="1"/>
      <c r="D594" s="1"/>
      <c r="E594" s="1"/>
      <c r="F594" s="1"/>
      <c r="G594" s="3"/>
    </row>
  </sheetData>
  <autoFilter ref="A8:L581"/>
  <mergeCells count="5">
    <mergeCell ref="J1:M1"/>
    <mergeCell ref="J2:M2"/>
    <mergeCell ref="J3:M3"/>
    <mergeCell ref="J4:M4"/>
    <mergeCell ref="A5:M5"/>
  </mergeCells>
  <pageMargins left="0.98425196850393704" right="0.59055118110236227" top="0.35433070866141736" bottom="0.43307086614173229" header="0.15748031496062992" footer="0.31496062992125984"/>
  <pageSetup paperSize="9" scale="52" fitToHeight="0" orientation="landscape" horizontalDpi="1200" verticalDpi="1200" r:id="rId1"/>
  <headerFooter alignWithMargins="0">
    <oddHeader>&amp;R&amp;P</oddHeader>
  </headerFooter>
  <rowBreaks count="2" manualBreakCount="2">
    <brk id="524" max="12" man="1"/>
    <brk id="5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1 чтение</vt:lpstr>
      <vt:lpstr>'ведомственная 1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2024-12-11T06:42:59Z</cp:lastPrinted>
  <dcterms:created xsi:type="dcterms:W3CDTF">2002-10-08T15:02:13Z</dcterms:created>
  <dcterms:modified xsi:type="dcterms:W3CDTF">2025-06-18T01:26:25Z</dcterms:modified>
</cp:coreProperties>
</file>