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2" yWindow="-12" windowWidth="11520" windowHeight="9660" tabRatio="599"/>
  </bookViews>
  <sheets>
    <sheet name="ведомственная 1 чтение" sheetId="16" r:id="rId1"/>
  </sheets>
  <definedNames>
    <definedName name="_acc2" localSheetId="0">#REF!</definedName>
    <definedName name="_acc2">#REF!</definedName>
    <definedName name="_End1" localSheetId="0">#REF!</definedName>
    <definedName name="_End1">#REF!</definedName>
    <definedName name="_End10" localSheetId="0">#REF!</definedName>
    <definedName name="_End10">#REF!</definedName>
    <definedName name="_End11" localSheetId="0">#REF!</definedName>
    <definedName name="_End11">#REF!</definedName>
    <definedName name="_End12" localSheetId="0">#REF!</definedName>
    <definedName name="_End12">#REF!</definedName>
    <definedName name="_End13" localSheetId="0">#REF!</definedName>
    <definedName name="_End13">#REF!</definedName>
    <definedName name="_End14" localSheetId="0">#REF!</definedName>
    <definedName name="_End14">#REF!</definedName>
    <definedName name="_End15" localSheetId="0">#REF!</definedName>
    <definedName name="_End15">#REF!</definedName>
    <definedName name="_End16" localSheetId="0">#REF!</definedName>
    <definedName name="_End16">#REF!</definedName>
    <definedName name="_End17" localSheetId="0">#REF!</definedName>
    <definedName name="_End17">#REF!</definedName>
    <definedName name="_End18" localSheetId="0">#REF!</definedName>
    <definedName name="_End18">#REF!</definedName>
    <definedName name="_End19" localSheetId="0">#REF!</definedName>
    <definedName name="_End19">#REF!</definedName>
    <definedName name="_End2" localSheetId="0">#REF!</definedName>
    <definedName name="_End2">#REF!</definedName>
    <definedName name="_End20" localSheetId="0">#REF!</definedName>
    <definedName name="_End20">#REF!</definedName>
    <definedName name="_End21" localSheetId="0">#REF!</definedName>
    <definedName name="_End21">#REF!</definedName>
    <definedName name="_End22" localSheetId="0">#REF!</definedName>
    <definedName name="_End22">#REF!</definedName>
    <definedName name="_End23" localSheetId="0">#REF!</definedName>
    <definedName name="_End23">#REF!</definedName>
    <definedName name="_End24" localSheetId="0">#REF!</definedName>
    <definedName name="_End24">#REF!</definedName>
    <definedName name="_End25" localSheetId="0">#REF!</definedName>
    <definedName name="_End25">#REF!</definedName>
    <definedName name="_End26" localSheetId="0">#REF!</definedName>
    <definedName name="_End26">#REF!</definedName>
    <definedName name="_End27" localSheetId="0">#REF!</definedName>
    <definedName name="_End27">#REF!</definedName>
    <definedName name="_End28" localSheetId="0">#REF!</definedName>
    <definedName name="_End28">#REF!</definedName>
    <definedName name="_End29" localSheetId="0">#REF!</definedName>
    <definedName name="_End29">#REF!</definedName>
    <definedName name="_End3" localSheetId="0">#REF!</definedName>
    <definedName name="_End3">#REF!</definedName>
    <definedName name="_End30" localSheetId="0">#REF!</definedName>
    <definedName name="_End30">#REF!</definedName>
    <definedName name="_End31" localSheetId="0">#REF!</definedName>
    <definedName name="_End31">#REF!</definedName>
    <definedName name="_End32" localSheetId="0">#REF!</definedName>
    <definedName name="_End32">#REF!</definedName>
    <definedName name="_End33" localSheetId="0">#REF!</definedName>
    <definedName name="_End33">#REF!</definedName>
    <definedName name="_End34" localSheetId="0">#REF!</definedName>
    <definedName name="_End34">#REF!</definedName>
    <definedName name="_End35" localSheetId="0">#REF!</definedName>
    <definedName name="_End35">#REF!</definedName>
    <definedName name="_End36" localSheetId="0">#REF!</definedName>
    <definedName name="_End36">#REF!</definedName>
    <definedName name="_End37" localSheetId="0">#REF!</definedName>
    <definedName name="_End37">#REF!</definedName>
    <definedName name="_End38" localSheetId="0">#REF!</definedName>
    <definedName name="_End38">#REF!</definedName>
    <definedName name="_End39" localSheetId="0">#REF!</definedName>
    <definedName name="_End39">#REF!</definedName>
    <definedName name="_End4" localSheetId="0">#REF!</definedName>
    <definedName name="_End4">#REF!</definedName>
    <definedName name="_End40" localSheetId="0">#REF!</definedName>
    <definedName name="_End40">#REF!</definedName>
    <definedName name="_End41" localSheetId="0">#REF!</definedName>
    <definedName name="_End41">#REF!</definedName>
    <definedName name="_End42" localSheetId="0">#REF!</definedName>
    <definedName name="_End42">#REF!</definedName>
    <definedName name="_End43" localSheetId="0">#REF!</definedName>
    <definedName name="_End43">#REF!</definedName>
    <definedName name="_End44" localSheetId="0">#REF!</definedName>
    <definedName name="_End44">#REF!</definedName>
    <definedName name="_End45" localSheetId="0">#REF!</definedName>
    <definedName name="_End45">#REF!</definedName>
    <definedName name="_End46" localSheetId="0">#REF!</definedName>
    <definedName name="_End46">#REF!</definedName>
    <definedName name="_End47" localSheetId="0">#REF!</definedName>
    <definedName name="_End47">#REF!</definedName>
    <definedName name="_End48" localSheetId="0">#REF!</definedName>
    <definedName name="_End48">#REF!</definedName>
    <definedName name="_End49" localSheetId="0">#REF!</definedName>
    <definedName name="_End49">#REF!</definedName>
    <definedName name="_End5" localSheetId="0">#REF!</definedName>
    <definedName name="_End5">#REF!</definedName>
    <definedName name="_End50" localSheetId="0">#REF!</definedName>
    <definedName name="_End50">#REF!</definedName>
    <definedName name="_End6" localSheetId="0">#REF!</definedName>
    <definedName name="_End6">#REF!</definedName>
    <definedName name="_End7" localSheetId="0">#REF!</definedName>
    <definedName name="_End7">#REF!</definedName>
    <definedName name="_End8" localSheetId="0">#REF!</definedName>
    <definedName name="_End8">#REF!</definedName>
    <definedName name="_End9" localSheetId="0">#REF!</definedName>
    <definedName name="_End9">#REF!</definedName>
    <definedName name="_xlnm._FilterDatabase" localSheetId="0" hidden="1">'ведомственная 1 чтение'!$A$8:$K$559</definedName>
    <definedName name="add_bk" localSheetId="0">#REF!</definedName>
    <definedName name="add_bk">#REF!</definedName>
    <definedName name="add_bk_n" localSheetId="0">#REF!</definedName>
    <definedName name="add_bk_n">#REF!</definedName>
    <definedName name="Boss_FIO" localSheetId="0">#REF!</definedName>
    <definedName name="Boss_FIO">#REF!</definedName>
    <definedName name="Budget_Level" localSheetId="0">#REF!</definedName>
    <definedName name="Budget_Level">#REF!</definedName>
    <definedName name="Buh_Dol" localSheetId="0">#REF!</definedName>
    <definedName name="Buh_Dol">#REF!</definedName>
    <definedName name="Buh_FIO" localSheetId="0">#REF!</definedName>
    <definedName name="Buh_FIO">#REF!</definedName>
    <definedName name="cacc2" localSheetId="0">#REF!</definedName>
    <definedName name="cacc2">#REF!</definedName>
    <definedName name="cadd_bk" localSheetId="0">#REF!</definedName>
    <definedName name="cadd_bk">#REF!</definedName>
    <definedName name="cbk" localSheetId="0">#REF!</definedName>
    <definedName name="cbk">#REF!</definedName>
    <definedName name="cdep" localSheetId="0">#REF!</definedName>
    <definedName name="cdep">#REF!</definedName>
    <definedName name="cdiv" localSheetId="0">#REF!</definedName>
    <definedName name="cdiv">#REF!</definedName>
    <definedName name="cexp" localSheetId="0">#REF!</definedName>
    <definedName name="cexp">#REF!</definedName>
    <definedName name="Chef_Dol" localSheetId="0">#REF!</definedName>
    <definedName name="Chef_Dol">#REF!</definedName>
    <definedName name="Chef_FIO" localSheetId="0">#REF!</definedName>
    <definedName name="Chef_FIO">#REF!</definedName>
    <definedName name="citem" localSheetId="0">#REF!</definedName>
    <definedName name="citem">#REF!</definedName>
    <definedName name="citem1" localSheetId="0">#REF!</definedName>
    <definedName name="citem1">#REF!</definedName>
    <definedName name="citem2" localSheetId="0">#REF!</definedName>
    <definedName name="citem2">#REF!</definedName>
    <definedName name="cmdiv" localSheetId="0">#REF!</definedName>
    <definedName name="cmdiv">#REF!</definedName>
    <definedName name="corr02_n" localSheetId="0">#REF!</definedName>
    <definedName name="corr02_n">#REF!</definedName>
    <definedName name="corr2" localSheetId="0">#REF!</definedName>
    <definedName name="corr2">#REF!</definedName>
    <definedName name="corr2_cbp" localSheetId="0">#REF!</definedName>
    <definedName name="corr2_cbp">#REF!</definedName>
    <definedName name="corr2_inn" localSheetId="0">#REF!</definedName>
    <definedName name="corr2_inn">#REF!</definedName>
    <definedName name="corr2_n" localSheetId="0">#REF!</definedName>
    <definedName name="corr2_n">#REF!</definedName>
    <definedName name="csfin" localSheetId="0">#REF!</definedName>
    <definedName name="csfin">#REF!</definedName>
    <definedName name="ctgt" localSheetId="0">#REF!</definedName>
    <definedName name="ctgt">#REF!</definedName>
    <definedName name="ctgt3" localSheetId="0">#REF!</definedName>
    <definedName name="ctgt3">#REF!</definedName>
    <definedName name="ctgt5" localSheetId="0">#REF!</definedName>
    <definedName name="ctgt5">#REF!</definedName>
    <definedName name="CurentGroup" localSheetId="0">#REF!</definedName>
    <definedName name="CurentGroup">#REF!</definedName>
    <definedName name="CurRow" localSheetId="0">#REF!</definedName>
    <definedName name="CurRow">#REF!</definedName>
    <definedName name="Data" localSheetId="0">#REF!</definedName>
    <definedName name="Data">#REF!</definedName>
    <definedName name="DataFields" localSheetId="0">#REF!</definedName>
    <definedName name="DataFields">#REF!</definedName>
    <definedName name="date" localSheetId="0">#REF!</definedName>
    <definedName name="date">#REF!</definedName>
    <definedName name="dDate1" localSheetId="0">#REF!</definedName>
    <definedName name="dDate1">#REF!</definedName>
    <definedName name="dDate2" localSheetId="0">#REF!</definedName>
    <definedName name="dDate2">#REF!</definedName>
    <definedName name="dep" localSheetId="0">#REF!</definedName>
    <definedName name="dep">#REF!</definedName>
    <definedName name="dep_n" localSheetId="0">#REF!</definedName>
    <definedName name="dep_n">#REF!</definedName>
    <definedName name="div" localSheetId="0">#REF!</definedName>
    <definedName name="div">#REF!</definedName>
    <definedName name="div_n" localSheetId="0">#REF!</definedName>
    <definedName name="div_n">#REF!</definedName>
    <definedName name="EndPred" localSheetId="0">#REF!</definedName>
    <definedName name="EndPred">#REF!</definedName>
    <definedName name="EndRow" localSheetId="0">#REF!</definedName>
    <definedName name="EndRow">#REF!</definedName>
    <definedName name="exp" localSheetId="0">#REF!</definedName>
    <definedName name="exp">#REF!</definedName>
    <definedName name="exp_n" localSheetId="0">#REF!</definedName>
    <definedName name="exp_n">#REF!</definedName>
    <definedName name="Footer" localSheetId="0">#REF!</definedName>
    <definedName name="Footer">#REF!</definedName>
    <definedName name="GroupOrder" localSheetId="0">#REF!</definedName>
    <definedName name="GroupOrder">#REF!</definedName>
    <definedName name="item" localSheetId="0">#REF!</definedName>
    <definedName name="item">#REF!</definedName>
    <definedName name="item_n" localSheetId="0">#REF!</definedName>
    <definedName name="item_n">#REF!</definedName>
    <definedName name="item1_n" localSheetId="0">#REF!</definedName>
    <definedName name="item1_n">#REF!</definedName>
    <definedName name="item2_n" localSheetId="0">#REF!</definedName>
    <definedName name="item2_n">#REF!</definedName>
    <definedName name="izm" localSheetId="0">#REF!</definedName>
    <definedName name="izm">#REF!</definedName>
    <definedName name="link" localSheetId="0">#REF!</definedName>
    <definedName name="link">#REF!</definedName>
    <definedName name="mdiv_n" localSheetId="0">#REF!</definedName>
    <definedName name="mdiv_n">#REF!</definedName>
    <definedName name="NastrFields" localSheetId="0">#REF!</definedName>
    <definedName name="NastrFields">#REF!</definedName>
    <definedName name="nCheck_1" localSheetId="0">#REF!</definedName>
    <definedName name="nCheck_1">#REF!</definedName>
    <definedName name="nCheck_10" localSheetId="0">#REF!</definedName>
    <definedName name="nCheck_10">#REF!</definedName>
    <definedName name="nCheck_11" localSheetId="0">#REF!</definedName>
    <definedName name="nCheck_11">#REF!</definedName>
    <definedName name="nCheck_12" localSheetId="0">#REF!</definedName>
    <definedName name="nCheck_12">#REF!</definedName>
    <definedName name="nCheck_13" localSheetId="0">#REF!</definedName>
    <definedName name="nCheck_13">#REF!</definedName>
    <definedName name="nCheck_2" localSheetId="0">#REF!</definedName>
    <definedName name="nCheck_2">#REF!</definedName>
    <definedName name="nCheck_5" localSheetId="0">#REF!</definedName>
    <definedName name="nCheck_5">#REF!</definedName>
    <definedName name="nCheck_6" localSheetId="0">#REF!</definedName>
    <definedName name="nCheck_6">#REF!</definedName>
    <definedName name="nCheck_7" localSheetId="0">#REF!</definedName>
    <definedName name="nCheck_7">#REF!</definedName>
    <definedName name="nCheck_8" localSheetId="0">#REF!</definedName>
    <definedName name="nCheck_8">#REF!</definedName>
    <definedName name="nCheck_9" localSheetId="0">#REF!</definedName>
    <definedName name="nCheck_9">#REF!</definedName>
    <definedName name="nOtborLink1" localSheetId="0">#REF!</definedName>
    <definedName name="nOtborLink1">#REF!</definedName>
    <definedName name="nOtborLink10" localSheetId="0">#REF!</definedName>
    <definedName name="nOtborLink10">#REF!</definedName>
    <definedName name="nOtborLink11" localSheetId="0">#REF!</definedName>
    <definedName name="nOtborLink11">#REF!</definedName>
    <definedName name="nOtborLink12" localSheetId="0">#REF!</definedName>
    <definedName name="nOtborLink12">#REF!</definedName>
    <definedName name="nOtborLink2" localSheetId="0">#REF!</definedName>
    <definedName name="nOtborLink2">#REF!</definedName>
    <definedName name="nOtborLink3" localSheetId="0">#REF!</definedName>
    <definedName name="nOtborLink3">#REF!</definedName>
    <definedName name="nOtborLink4" localSheetId="0">#REF!</definedName>
    <definedName name="nOtborLink4">#REF!</definedName>
    <definedName name="nOtborLink5" localSheetId="0">#REF!</definedName>
    <definedName name="nOtborLink5">#REF!</definedName>
    <definedName name="nOtborLink6" localSheetId="0">#REF!</definedName>
    <definedName name="nOtborLink6">#REF!</definedName>
    <definedName name="nOtborLink7" localSheetId="0">#REF!</definedName>
    <definedName name="nOtborLink7">#REF!</definedName>
    <definedName name="nOtborLink8" localSheetId="0">#REF!</definedName>
    <definedName name="nOtborLink8">#REF!</definedName>
    <definedName name="number" localSheetId="0">#REF!</definedName>
    <definedName name="number">#REF!</definedName>
    <definedName name="obj_n" localSheetId="0">#REF!</definedName>
    <definedName name="obj_n">#REF!</definedName>
    <definedName name="PrevGroupName" localSheetId="0">#REF!</definedName>
    <definedName name="PrevGroupName">#REF!</definedName>
    <definedName name="PrevGroupValue" localSheetId="0">#REF!</definedName>
    <definedName name="PrevGroupValue">#REF!</definedName>
    <definedName name="Rash_Date" localSheetId="0">#REF!</definedName>
    <definedName name="Rash_Date">#REF!</definedName>
    <definedName name="s_1" localSheetId="0">#REF!</definedName>
    <definedName name="s_1">#REF!</definedName>
    <definedName name="s_2" localSheetId="0">#REF!</definedName>
    <definedName name="s_2">#REF!</definedName>
    <definedName name="s_3" localSheetId="0">#REF!</definedName>
    <definedName name="s_3">#REF!</definedName>
    <definedName name="s_4" localSheetId="0">#REF!</definedName>
    <definedName name="s_4">#REF!</definedName>
    <definedName name="sfin" localSheetId="0">#REF!</definedName>
    <definedName name="sfin">#REF!</definedName>
    <definedName name="sfin_n" localSheetId="0">#REF!</definedName>
    <definedName name="sfin_n">#REF!</definedName>
    <definedName name="ss" localSheetId="0">#REF!</definedName>
    <definedName name="ss">#REF!</definedName>
    <definedName name="Start1" localSheetId="0">#REF!</definedName>
    <definedName name="Start1">#REF!</definedName>
    <definedName name="Start10" localSheetId="0">#REF!</definedName>
    <definedName name="Start10">#REF!</definedName>
    <definedName name="Start11" localSheetId="0">#REF!</definedName>
    <definedName name="Start11">#REF!</definedName>
    <definedName name="Start12" localSheetId="0">#REF!</definedName>
    <definedName name="Start12">#REF!</definedName>
    <definedName name="Start13" localSheetId="0">#REF!</definedName>
    <definedName name="Start13">#REF!</definedName>
    <definedName name="Start14" localSheetId="0">#REF!</definedName>
    <definedName name="Start14">#REF!</definedName>
    <definedName name="Start15" localSheetId="0">#REF!</definedName>
    <definedName name="Start15">#REF!</definedName>
    <definedName name="Start16" localSheetId="0">#REF!</definedName>
    <definedName name="Start16">#REF!</definedName>
    <definedName name="Start17" localSheetId="0">#REF!</definedName>
    <definedName name="Start17">#REF!</definedName>
    <definedName name="Start18" localSheetId="0">#REF!</definedName>
    <definedName name="Start18">#REF!</definedName>
    <definedName name="Start19" localSheetId="0">#REF!</definedName>
    <definedName name="Start19">#REF!</definedName>
    <definedName name="Start2" localSheetId="0">#REF!</definedName>
    <definedName name="Start2">#REF!</definedName>
    <definedName name="Start20" localSheetId="0">#REF!</definedName>
    <definedName name="Start20">#REF!</definedName>
    <definedName name="Start21" localSheetId="0">#REF!</definedName>
    <definedName name="Start21">#REF!</definedName>
    <definedName name="Start22" localSheetId="0">#REF!</definedName>
    <definedName name="Start22">#REF!</definedName>
    <definedName name="Start23" localSheetId="0">#REF!</definedName>
    <definedName name="Start23">#REF!</definedName>
    <definedName name="Start24" localSheetId="0">#REF!</definedName>
    <definedName name="Start24">#REF!</definedName>
    <definedName name="Start25" localSheetId="0">#REF!</definedName>
    <definedName name="Start25">#REF!</definedName>
    <definedName name="Start26" localSheetId="0">#REF!</definedName>
    <definedName name="Start26">#REF!</definedName>
    <definedName name="Start27" localSheetId="0">#REF!</definedName>
    <definedName name="Start27">#REF!</definedName>
    <definedName name="Start28" localSheetId="0">#REF!</definedName>
    <definedName name="Start28">#REF!</definedName>
    <definedName name="Start29" localSheetId="0">#REF!</definedName>
    <definedName name="Start29">#REF!</definedName>
    <definedName name="Start3" localSheetId="0">#REF!</definedName>
    <definedName name="Start3">#REF!</definedName>
    <definedName name="Start30" localSheetId="0">#REF!</definedName>
    <definedName name="Start30">#REF!</definedName>
    <definedName name="Start31" localSheetId="0">#REF!</definedName>
    <definedName name="Start31">#REF!</definedName>
    <definedName name="Start32" localSheetId="0">#REF!</definedName>
    <definedName name="Start32">#REF!</definedName>
    <definedName name="Start33" localSheetId="0">#REF!</definedName>
    <definedName name="Start33">#REF!</definedName>
    <definedName name="Start34" localSheetId="0">#REF!</definedName>
    <definedName name="Start34">#REF!</definedName>
    <definedName name="Start35" localSheetId="0">#REF!</definedName>
    <definedName name="Start35">#REF!</definedName>
    <definedName name="Start36" localSheetId="0">#REF!</definedName>
    <definedName name="Start36">#REF!</definedName>
    <definedName name="Start37" localSheetId="0">#REF!</definedName>
    <definedName name="Start37">#REF!</definedName>
    <definedName name="Start38" localSheetId="0">#REF!</definedName>
    <definedName name="Start38">#REF!</definedName>
    <definedName name="Start39" localSheetId="0">#REF!</definedName>
    <definedName name="Start39">#REF!</definedName>
    <definedName name="Start4" localSheetId="0">#REF!</definedName>
    <definedName name="Start4">#REF!</definedName>
    <definedName name="Start40" localSheetId="0">#REF!</definedName>
    <definedName name="Start40">#REF!</definedName>
    <definedName name="Start41" localSheetId="0">#REF!</definedName>
    <definedName name="Start41">#REF!</definedName>
    <definedName name="Start42" localSheetId="0">#REF!</definedName>
    <definedName name="Start42">#REF!</definedName>
    <definedName name="Start43" localSheetId="0">#REF!</definedName>
    <definedName name="Start43">#REF!</definedName>
    <definedName name="Start44" localSheetId="0">#REF!</definedName>
    <definedName name="Start44">#REF!</definedName>
    <definedName name="Start45" localSheetId="0">#REF!</definedName>
    <definedName name="Start45">#REF!</definedName>
    <definedName name="Start46" localSheetId="0">#REF!</definedName>
    <definedName name="Start46">#REF!</definedName>
    <definedName name="Start47" localSheetId="0">#REF!</definedName>
    <definedName name="Start47">#REF!</definedName>
    <definedName name="Start48" localSheetId="0">#REF!</definedName>
    <definedName name="Start48">#REF!</definedName>
    <definedName name="Start49" localSheetId="0">#REF!</definedName>
    <definedName name="Start49">#REF!</definedName>
    <definedName name="Start5" localSheetId="0">#REF!</definedName>
    <definedName name="Start5">#REF!</definedName>
    <definedName name="Start50" localSheetId="0">#REF!</definedName>
    <definedName name="Start50">#REF!</definedName>
    <definedName name="Start6" localSheetId="0">#REF!</definedName>
    <definedName name="Start6">#REF!</definedName>
    <definedName name="Start7" localSheetId="0">#REF!</definedName>
    <definedName name="Start7">#REF!</definedName>
    <definedName name="Start8" localSheetId="0">#REF!</definedName>
    <definedName name="Start8">#REF!</definedName>
    <definedName name="Start9" localSheetId="0">#REF!</definedName>
    <definedName name="Start9">#REF!</definedName>
    <definedName name="StartData" localSheetId="0">#REF!</definedName>
    <definedName name="StartData">#REF!</definedName>
    <definedName name="StartPred" localSheetId="0">#REF!</definedName>
    <definedName name="StartPred">#REF!</definedName>
    <definedName name="StartRow" localSheetId="0">#REF!</definedName>
    <definedName name="StartRow">#REF!</definedName>
    <definedName name="Struct_Podraz" localSheetId="0">#REF!</definedName>
    <definedName name="Struct_Podraz">#REF!</definedName>
    <definedName name="tgt" localSheetId="0">#REF!</definedName>
    <definedName name="tgt">#REF!</definedName>
    <definedName name="tgt_n" localSheetId="0">#REF!</definedName>
    <definedName name="tgt_n">#REF!</definedName>
    <definedName name="tgt3_n" localSheetId="0">#REF!</definedName>
    <definedName name="tgt3_n">#REF!</definedName>
    <definedName name="tgt5_n" localSheetId="0">#REF!</definedName>
    <definedName name="tgt5_n">#REF!</definedName>
    <definedName name="Today" localSheetId="0">#REF!</definedName>
    <definedName name="Today">#REF!</definedName>
    <definedName name="Today2" localSheetId="0">#REF!</definedName>
    <definedName name="Today2">#REF!</definedName>
    <definedName name="User_CBP" localSheetId="0">#REF!</definedName>
    <definedName name="User_CBP">#REF!</definedName>
    <definedName name="User_COFK" localSheetId="0">#REF!</definedName>
    <definedName name="User_COFK">#REF!</definedName>
    <definedName name="User_Dol" localSheetId="0">#REF!</definedName>
    <definedName name="User_Dol">#REF!</definedName>
    <definedName name="User_FIO" localSheetId="0">#REF!</definedName>
    <definedName name="User_FIO">#REF!</definedName>
    <definedName name="User_INN" localSheetId="0">#REF!</definedName>
    <definedName name="User_INN">#REF!</definedName>
    <definedName name="User_Name" localSheetId="0">#REF!</definedName>
    <definedName name="User_Name">#REF!</definedName>
    <definedName name="User_Phone" localSheetId="0">#REF!</definedName>
    <definedName name="User_Phone">#REF!</definedName>
    <definedName name="Zam_Boss_FIO" localSheetId="0">#REF!</definedName>
    <definedName name="Zam_Boss_FIO">#REF!</definedName>
    <definedName name="Zam_Buh_FIO" localSheetId="0">#REF!</definedName>
    <definedName name="Zam_Buh_FIO">#REF!</definedName>
    <definedName name="Zam_Chef_FIO" localSheetId="0">#REF!</definedName>
    <definedName name="Zam_Chef_FIO">#REF!</definedName>
    <definedName name="_xlnm.Print_Area" localSheetId="0">'ведомственная 1 чтение'!$A$1:$L$559</definedName>
  </definedNames>
  <calcPr calcId="125725" fullPrecision="0"/>
</workbook>
</file>

<file path=xl/calcChain.xml><?xml version="1.0" encoding="utf-8"?>
<calcChain xmlns="http://schemas.openxmlformats.org/spreadsheetml/2006/main">
  <c r="I34" i="16"/>
  <c r="E378"/>
  <c r="E118" l="1"/>
  <c r="E117"/>
  <c r="E116"/>
  <c r="E115"/>
  <c r="E26"/>
  <c r="E24"/>
  <c r="E22"/>
  <c r="E21"/>
  <c r="E20"/>
  <c r="E510"/>
  <c r="E508"/>
  <c r="E489"/>
  <c r="E488"/>
  <c r="E477"/>
  <c r="E473"/>
  <c r="E395"/>
  <c r="E393"/>
  <c r="E392"/>
  <c r="E391"/>
  <c r="E390"/>
  <c r="E381"/>
  <c r="E379"/>
  <c r="E372"/>
  <c r="E366"/>
  <c r="E360"/>
  <c r="E357"/>
  <c r="E355"/>
  <c r="E347"/>
  <c r="E344"/>
  <c r="E342"/>
  <c r="E340"/>
  <c r="E337"/>
  <c r="E335"/>
  <c r="E333"/>
  <c r="E331"/>
  <c r="E321"/>
  <c r="E315"/>
  <c r="E313"/>
  <c r="E311"/>
  <c r="E453"/>
  <c r="E451"/>
  <c r="E449"/>
  <c r="E441"/>
  <c r="E440"/>
  <c r="E434"/>
  <c r="E432"/>
  <c r="E429"/>
  <c r="E421"/>
  <c r="E415"/>
  <c r="E412"/>
  <c r="E411"/>
  <c r="E407"/>
  <c r="E405"/>
  <c r="E404"/>
  <c r="E403"/>
  <c r="E402"/>
  <c r="E558"/>
  <c r="E551"/>
  <c r="E541"/>
  <c r="E539"/>
  <c r="E537"/>
  <c r="E526"/>
  <c r="E525"/>
  <c r="E500"/>
  <c r="E494"/>
  <c r="E485"/>
  <c r="E484"/>
  <c r="E483"/>
  <c r="E466"/>
  <c r="E298"/>
  <c r="E296"/>
  <c r="E294"/>
  <c r="E287"/>
  <c r="E285"/>
  <c r="E271"/>
  <c r="E269"/>
  <c r="E263"/>
  <c r="E256"/>
  <c r="E254"/>
  <c r="E249"/>
  <c r="E246"/>
  <c r="E244"/>
  <c r="E241"/>
  <c r="E238"/>
  <c r="E236"/>
  <c r="E234"/>
  <c r="E232"/>
  <c r="E226"/>
  <c r="E219"/>
  <c r="E215"/>
  <c r="E213"/>
  <c r="E212"/>
  <c r="E210"/>
  <c r="E203"/>
  <c r="E192"/>
  <c r="E175"/>
  <c r="E173"/>
  <c r="E171"/>
  <c r="E164"/>
  <c r="E159"/>
  <c r="E154"/>
  <c r="E134"/>
  <c r="E132"/>
  <c r="E126"/>
  <c r="E125"/>
  <c r="E111"/>
  <c r="E110"/>
  <c r="E108"/>
  <c r="E107"/>
  <c r="E105"/>
  <c r="E100"/>
  <c r="E99"/>
  <c r="E97"/>
  <c r="E96"/>
  <c r="E94"/>
  <c r="E93"/>
  <c r="E91"/>
  <c r="E89"/>
  <c r="E70"/>
  <c r="E68"/>
  <c r="E64"/>
  <c r="E58"/>
  <c r="F226" l="1"/>
  <c r="F219"/>
  <c r="F213"/>
  <c r="F236"/>
  <c r="K152" l="1"/>
  <c r="H152"/>
  <c r="I152"/>
  <c r="G151"/>
  <c r="K394"/>
  <c r="K329"/>
  <c r="K318"/>
  <c r="K444"/>
  <c r="K442"/>
  <c r="K427"/>
  <c r="K425"/>
  <c r="K423"/>
  <c r="K419"/>
  <c r="K544"/>
  <c r="K535"/>
  <c r="K533"/>
  <c r="K521"/>
  <c r="K516"/>
  <c r="K496"/>
  <c r="K459"/>
  <c r="K384"/>
  <c r="K304"/>
  <c r="K261"/>
  <c r="K224"/>
  <c r="K197"/>
  <c r="K190"/>
  <c r="K185"/>
  <c r="K183"/>
  <c r="K177"/>
  <c r="K140"/>
  <c r="K103"/>
  <c r="K102"/>
  <c r="K84"/>
  <c r="K79"/>
  <c r="K75"/>
  <c r="I394"/>
  <c r="I329"/>
  <c r="I318"/>
  <c r="I444"/>
  <c r="I442"/>
  <c r="I427"/>
  <c r="I425"/>
  <c r="I423"/>
  <c r="I419"/>
  <c r="I544"/>
  <c r="I535"/>
  <c r="I533"/>
  <c r="I521"/>
  <c r="I516"/>
  <c r="I496"/>
  <c r="I459"/>
  <c r="I384"/>
  <c r="I304"/>
  <c r="I261"/>
  <c r="I224"/>
  <c r="I197"/>
  <c r="I190"/>
  <c r="I185"/>
  <c r="I183"/>
  <c r="I177"/>
  <c r="I140"/>
  <c r="I103"/>
  <c r="I102"/>
  <c r="I84"/>
  <c r="I79"/>
  <c r="I75"/>
  <c r="H394"/>
  <c r="H329"/>
  <c r="H318"/>
  <c r="H444"/>
  <c r="H442"/>
  <c r="H427"/>
  <c r="H425"/>
  <c r="H423"/>
  <c r="H419"/>
  <c r="H544"/>
  <c r="H535"/>
  <c r="H533"/>
  <c r="H521"/>
  <c r="H516"/>
  <c r="H496"/>
  <c r="H459"/>
  <c r="H384"/>
  <c r="H304"/>
  <c r="H261"/>
  <c r="H224"/>
  <c r="H197"/>
  <c r="H190"/>
  <c r="H185"/>
  <c r="H183"/>
  <c r="H177"/>
  <c r="H140"/>
  <c r="H103"/>
  <c r="H102"/>
  <c r="H84"/>
  <c r="H79"/>
  <c r="H75"/>
  <c r="H33"/>
  <c r="F49"/>
  <c r="G49"/>
  <c r="F50"/>
  <c r="G50"/>
  <c r="F52"/>
  <c r="F51" s="1"/>
  <c r="G52"/>
  <c r="G51" s="1"/>
  <c r="F14"/>
  <c r="F13" s="1"/>
  <c r="H34"/>
  <c r="F35"/>
  <c r="F43"/>
  <c r="G43"/>
  <c r="F57"/>
  <c r="G57"/>
  <c r="G56" s="1"/>
  <c r="F64"/>
  <c r="H64" s="1"/>
  <c r="F68"/>
  <c r="G68"/>
  <c r="F70"/>
  <c r="G70"/>
  <c r="F73"/>
  <c r="G73"/>
  <c r="F74"/>
  <c r="G74"/>
  <c r="F77"/>
  <c r="G77"/>
  <c r="F78"/>
  <c r="G78"/>
  <c r="F82"/>
  <c r="F81" s="1"/>
  <c r="G82"/>
  <c r="F83"/>
  <c r="G83"/>
  <c r="F89"/>
  <c r="F91"/>
  <c r="H93"/>
  <c r="F94"/>
  <c r="G94"/>
  <c r="F96"/>
  <c r="G96"/>
  <c r="F97"/>
  <c r="G97"/>
  <c r="F99"/>
  <c r="G99"/>
  <c r="F100"/>
  <c r="G100"/>
  <c r="F101"/>
  <c r="G101"/>
  <c r="F105"/>
  <c r="G105"/>
  <c r="F107"/>
  <c r="G107"/>
  <c r="F108"/>
  <c r="G108"/>
  <c r="F110"/>
  <c r="G110"/>
  <c r="F111"/>
  <c r="G111"/>
  <c r="F113"/>
  <c r="G113"/>
  <c r="H126"/>
  <c r="F132"/>
  <c r="F134"/>
  <c r="F135"/>
  <c r="G135"/>
  <c r="F139"/>
  <c r="G139"/>
  <c r="G146"/>
  <c r="F147"/>
  <c r="F146" s="1"/>
  <c r="F159"/>
  <c r="G159"/>
  <c r="F164"/>
  <c r="F163" s="1"/>
  <c r="G164"/>
  <c r="F170"/>
  <c r="G170"/>
  <c r="F171"/>
  <c r="G171"/>
  <c r="F173"/>
  <c r="G173"/>
  <c r="F175"/>
  <c r="F174" s="1"/>
  <c r="G175"/>
  <c r="F176"/>
  <c r="G176"/>
  <c r="F182"/>
  <c r="G182"/>
  <c r="F184"/>
  <c r="G184"/>
  <c r="F189"/>
  <c r="G189"/>
  <c r="F192"/>
  <c r="G192"/>
  <c r="F196"/>
  <c r="G196"/>
  <c r="F203"/>
  <c r="G203"/>
  <c r="G209"/>
  <c r="F215"/>
  <c r="G215"/>
  <c r="F218"/>
  <c r="F223"/>
  <c r="G223"/>
  <c r="F225"/>
  <c r="F232"/>
  <c r="F231" s="1"/>
  <c r="G232"/>
  <c r="F234"/>
  <c r="G234"/>
  <c r="F235"/>
  <c r="F238"/>
  <c r="G241"/>
  <c r="F244"/>
  <c r="F243" s="1"/>
  <c r="G244"/>
  <c r="G246"/>
  <c r="F249"/>
  <c r="F248" s="1"/>
  <c r="F254"/>
  <c r="G254"/>
  <c r="F260"/>
  <c r="G260"/>
  <c r="F263"/>
  <c r="F270"/>
  <c r="F274"/>
  <c r="G274"/>
  <c r="F276"/>
  <c r="G276"/>
  <c r="F278"/>
  <c r="G278"/>
  <c r="F280"/>
  <c r="G280"/>
  <c r="G279" s="1"/>
  <c r="F285"/>
  <c r="G285"/>
  <c r="F287"/>
  <c r="F286" s="1"/>
  <c r="G287"/>
  <c r="G286" s="1"/>
  <c r="H292"/>
  <c r="F294"/>
  <c r="F296"/>
  <c r="F297"/>
  <c r="G297"/>
  <c r="F303"/>
  <c r="G303"/>
  <c r="F383"/>
  <c r="G383"/>
  <c r="F458"/>
  <c r="G458"/>
  <c r="G457" s="1"/>
  <c r="F466"/>
  <c r="F483"/>
  <c r="G483"/>
  <c r="F484"/>
  <c r="F485"/>
  <c r="F494"/>
  <c r="G494"/>
  <c r="F495"/>
  <c r="G495"/>
  <c r="F500"/>
  <c r="F499" s="1"/>
  <c r="G500"/>
  <c r="F502"/>
  <c r="F515"/>
  <c r="G515"/>
  <c r="F518"/>
  <c r="F517" s="1"/>
  <c r="G518"/>
  <c r="F520"/>
  <c r="G520"/>
  <c r="F525"/>
  <c r="G525"/>
  <c r="F526"/>
  <c r="G526"/>
  <c r="F532"/>
  <c r="G532"/>
  <c r="F534"/>
  <c r="G534"/>
  <c r="F537"/>
  <c r="F536" s="1"/>
  <c r="G537"/>
  <c r="F539"/>
  <c r="G539"/>
  <c r="F541"/>
  <c r="G541"/>
  <c r="F543"/>
  <c r="G543"/>
  <c r="F551"/>
  <c r="G551"/>
  <c r="F558"/>
  <c r="F557" s="1"/>
  <c r="G558"/>
  <c r="F402"/>
  <c r="G402"/>
  <c r="F403"/>
  <c r="F404"/>
  <c r="G404"/>
  <c r="F405"/>
  <c r="F407"/>
  <c r="F406" s="1"/>
  <c r="G407"/>
  <c r="F411"/>
  <c r="G411"/>
  <c r="F412"/>
  <c r="F413"/>
  <c r="G413"/>
  <c r="F415"/>
  <c r="F414" s="1"/>
  <c r="G415"/>
  <c r="F418"/>
  <c r="G418"/>
  <c r="F421"/>
  <c r="G421"/>
  <c r="F422"/>
  <c r="G422"/>
  <c r="F424"/>
  <c r="G424"/>
  <c r="F426"/>
  <c r="G426"/>
  <c r="F429"/>
  <c r="G429"/>
  <c r="F432"/>
  <c r="G432"/>
  <c r="F434"/>
  <c r="G434"/>
  <c r="F440"/>
  <c r="G440"/>
  <c r="F441"/>
  <c r="F443"/>
  <c r="G443"/>
  <c r="F449"/>
  <c r="G449"/>
  <c r="G448" s="1"/>
  <c r="F451"/>
  <c r="G451"/>
  <c r="F453"/>
  <c r="G453"/>
  <c r="G452" s="1"/>
  <c r="F311"/>
  <c r="G311"/>
  <c r="G310" s="1"/>
  <c r="F313"/>
  <c r="F315"/>
  <c r="G315"/>
  <c r="F317"/>
  <c r="G317"/>
  <c r="F321"/>
  <c r="F320" s="1"/>
  <c r="G321"/>
  <c r="F323"/>
  <c r="G323"/>
  <c r="F328"/>
  <c r="G328"/>
  <c r="F331"/>
  <c r="G331"/>
  <c r="F333"/>
  <c r="F332" s="1"/>
  <c r="G333"/>
  <c r="F335"/>
  <c r="F337"/>
  <c r="G337"/>
  <c r="F340"/>
  <c r="F339" s="1"/>
  <c r="G340"/>
  <c r="F342"/>
  <c r="F341" s="1"/>
  <c r="G342"/>
  <c r="F344"/>
  <c r="G344"/>
  <c r="G343" s="1"/>
  <c r="F347"/>
  <c r="G347"/>
  <c r="F349"/>
  <c r="F348" s="1"/>
  <c r="G349"/>
  <c r="F351"/>
  <c r="G351"/>
  <c r="F353"/>
  <c r="G353"/>
  <c r="G352" s="1"/>
  <c r="F355"/>
  <c r="G355"/>
  <c r="F357"/>
  <c r="G357"/>
  <c r="G356" s="1"/>
  <c r="F360"/>
  <c r="G360"/>
  <c r="G359" s="1"/>
  <c r="F362"/>
  <c r="F361" s="1"/>
  <c r="G362"/>
  <c r="F366"/>
  <c r="G366"/>
  <c r="F372"/>
  <c r="G372"/>
  <c r="F378"/>
  <c r="G378"/>
  <c r="F379"/>
  <c r="G379"/>
  <c r="F381"/>
  <c r="G381"/>
  <c r="F390"/>
  <c r="F391"/>
  <c r="G391"/>
  <c r="F392"/>
  <c r="G392"/>
  <c r="F393"/>
  <c r="G393"/>
  <c r="F395"/>
  <c r="G395"/>
  <c r="F473"/>
  <c r="F477"/>
  <c r="G477"/>
  <c r="F508"/>
  <c r="G508"/>
  <c r="F510"/>
  <c r="G510"/>
  <c r="F511"/>
  <c r="F20"/>
  <c r="F21"/>
  <c r="F22"/>
  <c r="H22" s="1"/>
  <c r="F24"/>
  <c r="F26"/>
  <c r="G25"/>
  <c r="F115"/>
  <c r="M414" l="1"/>
  <c r="F48"/>
  <c r="F47" s="1"/>
  <c r="H510"/>
  <c r="H315"/>
  <c r="H203"/>
  <c r="H111"/>
  <c r="F400"/>
  <c r="H108"/>
  <c r="H105"/>
  <c r="H100"/>
  <c r="H353"/>
  <c r="H113"/>
  <c r="H303"/>
  <c r="H260"/>
  <c r="H223"/>
  <c r="H189"/>
  <c r="H184"/>
  <c r="H78"/>
  <c r="H74"/>
  <c r="F401"/>
  <c r="F399" s="1"/>
  <c r="E151"/>
  <c r="I151" s="1"/>
  <c r="H135"/>
  <c r="F104"/>
  <c r="H52"/>
  <c r="F151"/>
  <c r="H151" s="1"/>
  <c r="H518"/>
  <c r="H232"/>
  <c r="H154"/>
  <c r="H443"/>
  <c r="H176"/>
  <c r="H82"/>
  <c r="H495"/>
  <c r="H51"/>
  <c r="H532"/>
  <c r="H77"/>
  <c r="G114"/>
  <c r="K115"/>
  <c r="G476"/>
  <c r="K477"/>
  <c r="K393"/>
  <c r="K381"/>
  <c r="F371"/>
  <c r="H372"/>
  <c r="K333"/>
  <c r="K426"/>
  <c r="K418"/>
  <c r="G410"/>
  <c r="K411"/>
  <c r="K405"/>
  <c r="F542"/>
  <c r="H543"/>
  <c r="K534"/>
  <c r="G519"/>
  <c r="K520"/>
  <c r="F501"/>
  <c r="H502"/>
  <c r="K494"/>
  <c r="G493"/>
  <c r="G465"/>
  <c r="G464" s="1"/>
  <c r="K466"/>
  <c r="G456"/>
  <c r="K294"/>
  <c r="K286"/>
  <c r="H286"/>
  <c r="K276"/>
  <c r="G275"/>
  <c r="H269"/>
  <c r="F268"/>
  <c r="F267" s="1"/>
  <c r="G245"/>
  <c r="K246"/>
  <c r="F237"/>
  <c r="H238"/>
  <c r="K212"/>
  <c r="K173"/>
  <c r="G172"/>
  <c r="F162"/>
  <c r="G109"/>
  <c r="K110"/>
  <c r="K97"/>
  <c r="K94"/>
  <c r="F80"/>
  <c r="F72"/>
  <c r="H73"/>
  <c r="K37"/>
  <c r="G31"/>
  <c r="K32"/>
  <c r="F114"/>
  <c r="H115"/>
  <c r="K21"/>
  <c r="H489"/>
  <c r="H393"/>
  <c r="F380"/>
  <c r="H381"/>
  <c r="G365"/>
  <c r="K366"/>
  <c r="G346"/>
  <c r="K347"/>
  <c r="K340"/>
  <c r="H333"/>
  <c r="F310"/>
  <c r="K310" s="1"/>
  <c r="H311"/>
  <c r="F448"/>
  <c r="H448" s="1"/>
  <c r="H449"/>
  <c r="G433"/>
  <c r="K434"/>
  <c r="H426"/>
  <c r="H418"/>
  <c r="H411"/>
  <c r="H403"/>
  <c r="G549"/>
  <c r="K551"/>
  <c r="G540"/>
  <c r="K541"/>
  <c r="H534"/>
  <c r="F519"/>
  <c r="H520"/>
  <c r="K500"/>
  <c r="H500"/>
  <c r="K297"/>
  <c r="H297"/>
  <c r="F291"/>
  <c r="F275"/>
  <c r="H276"/>
  <c r="F253"/>
  <c r="H254"/>
  <c r="G240"/>
  <c r="K241"/>
  <c r="G235"/>
  <c r="H235" s="1"/>
  <c r="K236"/>
  <c r="F233"/>
  <c r="H234"/>
  <c r="G225"/>
  <c r="G222" s="1"/>
  <c r="K226"/>
  <c r="H226"/>
  <c r="G218"/>
  <c r="H218" s="1"/>
  <c r="K219"/>
  <c r="H215"/>
  <c r="F214"/>
  <c r="G195"/>
  <c r="K196"/>
  <c r="H192"/>
  <c r="K188"/>
  <c r="G187"/>
  <c r="K175"/>
  <c r="H175"/>
  <c r="F172"/>
  <c r="H173"/>
  <c r="K159"/>
  <c r="G145"/>
  <c r="K146"/>
  <c r="G131"/>
  <c r="K132"/>
  <c r="K125"/>
  <c r="G124"/>
  <c r="F112"/>
  <c r="H110"/>
  <c r="H107"/>
  <c r="K101"/>
  <c r="G98"/>
  <c r="K99"/>
  <c r="H99"/>
  <c r="H97"/>
  <c r="H94"/>
  <c r="H91"/>
  <c r="F90"/>
  <c r="K118"/>
  <c r="K116"/>
  <c r="K26"/>
  <c r="F23"/>
  <c r="H24"/>
  <c r="H21"/>
  <c r="H511"/>
  <c r="G507"/>
  <c r="K508"/>
  <c r="K488"/>
  <c r="K395"/>
  <c r="K392"/>
  <c r="G389"/>
  <c r="G388" s="1"/>
  <c r="K390"/>
  <c r="G380"/>
  <c r="H378"/>
  <c r="H366"/>
  <c r="K357"/>
  <c r="F354"/>
  <c r="H355"/>
  <c r="F352"/>
  <c r="H352" s="1"/>
  <c r="H349"/>
  <c r="F346"/>
  <c r="H347"/>
  <c r="G341"/>
  <c r="H341" s="1"/>
  <c r="K342"/>
  <c r="G334"/>
  <c r="K335"/>
  <c r="G332"/>
  <c r="H332" s="1"/>
  <c r="K328"/>
  <c r="G320"/>
  <c r="H320" s="1"/>
  <c r="K321"/>
  <c r="F316"/>
  <c r="H317"/>
  <c r="G312"/>
  <c r="K313"/>
  <c r="G450"/>
  <c r="K451"/>
  <c r="H441"/>
  <c r="H434"/>
  <c r="K429"/>
  <c r="G428"/>
  <c r="K424"/>
  <c r="G420"/>
  <c r="N414" s="1"/>
  <c r="K421"/>
  <c r="G414"/>
  <c r="K415"/>
  <c r="K412"/>
  <c r="G406"/>
  <c r="H406" s="1"/>
  <c r="K407"/>
  <c r="K404"/>
  <c r="H404"/>
  <c r="K402"/>
  <c r="G557"/>
  <c r="H557" s="1"/>
  <c r="K558"/>
  <c r="H558"/>
  <c r="F550"/>
  <c r="H551"/>
  <c r="H541"/>
  <c r="F540"/>
  <c r="H515"/>
  <c r="K485"/>
  <c r="G211"/>
  <c r="K213"/>
  <c r="F69"/>
  <c r="H70"/>
  <c r="K117"/>
  <c r="F19"/>
  <c r="H20"/>
  <c r="G487"/>
  <c r="K489"/>
  <c r="F472"/>
  <c r="H473"/>
  <c r="K391"/>
  <c r="F377"/>
  <c r="H379"/>
  <c r="K362"/>
  <c r="F359"/>
  <c r="H359" s="1"/>
  <c r="H360"/>
  <c r="F350"/>
  <c r="H351"/>
  <c r="F343"/>
  <c r="H343" s="1"/>
  <c r="H344"/>
  <c r="K337"/>
  <c r="G336"/>
  <c r="G330"/>
  <c r="K331"/>
  <c r="G322"/>
  <c r="K323"/>
  <c r="K422"/>
  <c r="K413"/>
  <c r="K403"/>
  <c r="F556"/>
  <c r="F538"/>
  <c r="H539"/>
  <c r="K526"/>
  <c r="F514"/>
  <c r="K484"/>
  <c r="H484"/>
  <c r="F279"/>
  <c r="H279" s="1"/>
  <c r="H280"/>
  <c r="G270"/>
  <c r="H270" s="1"/>
  <c r="K271"/>
  <c r="G253"/>
  <c r="K254"/>
  <c r="G233"/>
  <c r="K234"/>
  <c r="G214"/>
  <c r="K215"/>
  <c r="G191"/>
  <c r="K192"/>
  <c r="G169"/>
  <c r="K170"/>
  <c r="H170"/>
  <c r="K135"/>
  <c r="G133"/>
  <c r="G106"/>
  <c r="K107"/>
  <c r="G90"/>
  <c r="K91"/>
  <c r="K83"/>
  <c r="H83"/>
  <c r="F67"/>
  <c r="H68"/>
  <c r="K34"/>
  <c r="H117"/>
  <c r="G23"/>
  <c r="K24"/>
  <c r="K511"/>
  <c r="F509"/>
  <c r="F476"/>
  <c r="H477"/>
  <c r="H391"/>
  <c r="K378"/>
  <c r="H362"/>
  <c r="G354"/>
  <c r="K355"/>
  <c r="K349"/>
  <c r="F336"/>
  <c r="H337"/>
  <c r="F314"/>
  <c r="K441"/>
  <c r="F431"/>
  <c r="H432"/>
  <c r="H422"/>
  <c r="H413"/>
  <c r="H405"/>
  <c r="G536"/>
  <c r="K537"/>
  <c r="H526"/>
  <c r="K515"/>
  <c r="F493"/>
  <c r="H494"/>
  <c r="F302"/>
  <c r="F293"/>
  <c r="H294"/>
  <c r="G284"/>
  <c r="G283" s="1"/>
  <c r="K285"/>
  <c r="H271"/>
  <c r="K263"/>
  <c r="F245"/>
  <c r="F242" s="1"/>
  <c r="H246"/>
  <c r="K182"/>
  <c r="K483"/>
  <c r="K458"/>
  <c r="F382"/>
  <c r="H383"/>
  <c r="G295"/>
  <c r="K296"/>
  <c r="G293"/>
  <c r="K287"/>
  <c r="H285"/>
  <c r="F284"/>
  <c r="G273"/>
  <c r="K274"/>
  <c r="F262"/>
  <c r="H263"/>
  <c r="G255"/>
  <c r="K256"/>
  <c r="G248"/>
  <c r="H248" s="1"/>
  <c r="K249"/>
  <c r="H249"/>
  <c r="G243"/>
  <c r="K244"/>
  <c r="F240"/>
  <c r="H241"/>
  <c r="H219"/>
  <c r="K210"/>
  <c r="H196"/>
  <c r="F191"/>
  <c r="F187"/>
  <c r="H188"/>
  <c r="K171"/>
  <c r="G163"/>
  <c r="H163" s="1"/>
  <c r="K164"/>
  <c r="F158"/>
  <c r="H159"/>
  <c r="F153"/>
  <c r="G138"/>
  <c r="K139"/>
  <c r="K134"/>
  <c r="F131"/>
  <c r="H132"/>
  <c r="F124"/>
  <c r="H125"/>
  <c r="G88"/>
  <c r="K89"/>
  <c r="G81"/>
  <c r="H81" s="1"/>
  <c r="K82"/>
  <c r="G42"/>
  <c r="K43"/>
  <c r="G35"/>
  <c r="K36"/>
  <c r="H36"/>
  <c r="K33"/>
  <c r="K16"/>
  <c r="H16"/>
  <c r="G14"/>
  <c r="K50"/>
  <c r="H118"/>
  <c r="H116"/>
  <c r="F25"/>
  <c r="H25" s="1"/>
  <c r="H26"/>
  <c r="K22"/>
  <c r="G19"/>
  <c r="K20"/>
  <c r="G509"/>
  <c r="K510"/>
  <c r="F507"/>
  <c r="H508"/>
  <c r="F487"/>
  <c r="H488"/>
  <c r="G472"/>
  <c r="K473"/>
  <c r="H395"/>
  <c r="H392"/>
  <c r="H390"/>
  <c r="K379"/>
  <c r="G371"/>
  <c r="K372"/>
  <c r="F365"/>
  <c r="K360"/>
  <c r="F356"/>
  <c r="H356" s="1"/>
  <c r="H357"/>
  <c r="K353"/>
  <c r="G350"/>
  <c r="K351"/>
  <c r="G348"/>
  <c r="K344"/>
  <c r="H342"/>
  <c r="G339"/>
  <c r="F334"/>
  <c r="H335"/>
  <c r="H328"/>
  <c r="H321"/>
  <c r="K315"/>
  <c r="G314"/>
  <c r="F312"/>
  <c r="H313"/>
  <c r="K453"/>
  <c r="F450"/>
  <c r="H451"/>
  <c r="K443"/>
  <c r="G439"/>
  <c r="G437" s="1"/>
  <c r="K440"/>
  <c r="F433"/>
  <c r="F428"/>
  <c r="H429"/>
  <c r="H424"/>
  <c r="H412"/>
  <c r="H402"/>
  <c r="G538"/>
  <c r="K539"/>
  <c r="F524"/>
  <c r="H525"/>
  <c r="G501"/>
  <c r="K502"/>
  <c r="G499"/>
  <c r="F482"/>
  <c r="H485"/>
  <c r="H483"/>
  <c r="F457"/>
  <c r="H458"/>
  <c r="K303"/>
  <c r="G302"/>
  <c r="K298"/>
  <c r="H296"/>
  <c r="F295"/>
  <c r="K280"/>
  <c r="F277"/>
  <c r="H278"/>
  <c r="F273"/>
  <c r="H274"/>
  <c r="G268"/>
  <c r="K269"/>
  <c r="G262"/>
  <c r="H256"/>
  <c r="F255"/>
  <c r="G237"/>
  <c r="K238"/>
  <c r="K223"/>
  <c r="H213"/>
  <c r="F209"/>
  <c r="H210"/>
  <c r="F202"/>
  <c r="F195"/>
  <c r="G181"/>
  <c r="K184"/>
  <c r="K176"/>
  <c r="G174"/>
  <c r="F169"/>
  <c r="H171"/>
  <c r="H164"/>
  <c r="G158"/>
  <c r="K147"/>
  <c r="H147"/>
  <c r="H139"/>
  <c r="F138"/>
  <c r="G112"/>
  <c r="K113"/>
  <c r="K100"/>
  <c r="F98"/>
  <c r="F95"/>
  <c r="H96"/>
  <c r="F88"/>
  <c r="H89"/>
  <c r="K77"/>
  <c r="G72"/>
  <c r="K73"/>
  <c r="G67"/>
  <c r="K68"/>
  <c r="F63"/>
  <c r="F42"/>
  <c r="H43"/>
  <c r="H50"/>
  <c r="F330"/>
  <c r="H331"/>
  <c r="F322"/>
  <c r="H323"/>
  <c r="G316"/>
  <c r="K317"/>
  <c r="K311"/>
  <c r="F452"/>
  <c r="H452" s="1"/>
  <c r="H453"/>
  <c r="K449"/>
  <c r="F439"/>
  <c r="F437" s="1"/>
  <c r="G431"/>
  <c r="K432"/>
  <c r="F420"/>
  <c r="H421"/>
  <c r="G542"/>
  <c r="K543"/>
  <c r="H537"/>
  <c r="K532"/>
  <c r="G524"/>
  <c r="K525"/>
  <c r="G517"/>
  <c r="H517" s="1"/>
  <c r="K518"/>
  <c r="K495"/>
  <c r="F465"/>
  <c r="H466"/>
  <c r="G382"/>
  <c r="K383"/>
  <c r="G291"/>
  <c r="K292"/>
  <c r="G277"/>
  <c r="K278"/>
  <c r="K260"/>
  <c r="F247"/>
  <c r="H244"/>
  <c r="H236"/>
  <c r="G231"/>
  <c r="K232"/>
  <c r="F222"/>
  <c r="F211"/>
  <c r="H212"/>
  <c r="G202"/>
  <c r="K203"/>
  <c r="K189"/>
  <c r="F181"/>
  <c r="G153"/>
  <c r="G150" s="1"/>
  <c r="K154"/>
  <c r="F145"/>
  <c r="H146"/>
  <c r="F133"/>
  <c r="H134"/>
  <c r="K126"/>
  <c r="K111"/>
  <c r="K108"/>
  <c r="G104"/>
  <c r="K105"/>
  <c r="H101"/>
  <c r="K96"/>
  <c r="G92"/>
  <c r="K93"/>
  <c r="K78"/>
  <c r="K74"/>
  <c r="G63"/>
  <c r="K64"/>
  <c r="F56"/>
  <c r="K56" s="1"/>
  <c r="H57"/>
  <c r="F31"/>
  <c r="F12"/>
  <c r="K51"/>
  <c r="H32"/>
  <c r="H37"/>
  <c r="H58"/>
  <c r="H182"/>
  <c r="H287"/>
  <c r="H298"/>
  <c r="H407"/>
  <c r="H415"/>
  <c r="H440"/>
  <c r="H340"/>
  <c r="K15"/>
  <c r="G48"/>
  <c r="K49"/>
  <c r="H49"/>
  <c r="H15"/>
  <c r="G69"/>
  <c r="K70"/>
  <c r="G55"/>
  <c r="K52"/>
  <c r="K58"/>
  <c r="K57"/>
  <c r="F389"/>
  <c r="G377"/>
  <c r="G358"/>
  <c r="G361"/>
  <c r="G401"/>
  <c r="G400"/>
  <c r="H400" s="1"/>
  <c r="G550"/>
  <c r="F549"/>
  <c r="F410"/>
  <c r="G482"/>
  <c r="F217"/>
  <c r="F216"/>
  <c r="F109"/>
  <c r="F106"/>
  <c r="G95"/>
  <c r="F92"/>
  <c r="F46"/>
  <c r="I33"/>
  <c r="I32"/>
  <c r="I58"/>
  <c r="F87" l="1"/>
  <c r="F86" s="1"/>
  <c r="H31"/>
  <c r="G87"/>
  <c r="G86" s="1"/>
  <c r="G18"/>
  <c r="F18"/>
  <c r="H106"/>
  <c r="F150"/>
  <c r="G409"/>
  <c r="F338"/>
  <c r="G217"/>
  <c r="K217" s="1"/>
  <c r="H428"/>
  <c r="F358"/>
  <c r="H358" s="1"/>
  <c r="H389"/>
  <c r="H410"/>
  <c r="G387"/>
  <c r="G385" s="1"/>
  <c r="G408"/>
  <c r="F66"/>
  <c r="F65" s="1"/>
  <c r="H295"/>
  <c r="G417"/>
  <c r="G290"/>
  <c r="G289" s="1"/>
  <c r="H273"/>
  <c r="F531"/>
  <c r="F530" s="1"/>
  <c r="H109"/>
  <c r="F438"/>
  <c r="H211"/>
  <c r="H334"/>
  <c r="G186"/>
  <c r="G180" s="1"/>
  <c r="F513"/>
  <c r="F512" s="1"/>
  <c r="F230"/>
  <c r="H312"/>
  <c r="G208"/>
  <c r="H540"/>
  <c r="K151"/>
  <c r="H509"/>
  <c r="H255"/>
  <c r="F272"/>
  <c r="F266" s="1"/>
  <c r="K448"/>
  <c r="H133"/>
  <c r="H88"/>
  <c r="G30"/>
  <c r="G29" s="1"/>
  <c r="G438"/>
  <c r="H35"/>
  <c r="H169"/>
  <c r="H433"/>
  <c r="H233"/>
  <c r="H519"/>
  <c r="K359"/>
  <c r="H380"/>
  <c r="H98"/>
  <c r="H450"/>
  <c r="K279"/>
  <c r="F252"/>
  <c r="F251" s="1"/>
  <c r="G216"/>
  <c r="G230"/>
  <c r="H346"/>
  <c r="H253"/>
  <c r="G436"/>
  <c r="K437"/>
  <c r="G481"/>
  <c r="K482"/>
  <c r="G548"/>
  <c r="K550"/>
  <c r="K181"/>
  <c r="F481"/>
  <c r="H482"/>
  <c r="K350"/>
  <c r="F486"/>
  <c r="H487"/>
  <c r="G137"/>
  <c r="K138"/>
  <c r="K536"/>
  <c r="K406"/>
  <c r="K450"/>
  <c r="H114"/>
  <c r="K172"/>
  <c r="K275"/>
  <c r="G531"/>
  <c r="K153"/>
  <c r="G430"/>
  <c r="K431"/>
  <c r="F319"/>
  <c r="H322"/>
  <c r="G71"/>
  <c r="K72"/>
  <c r="K112"/>
  <c r="F194"/>
  <c r="H195"/>
  <c r="K302"/>
  <c r="G301"/>
  <c r="F456"/>
  <c r="K456" s="1"/>
  <c r="H457"/>
  <c r="K499"/>
  <c r="K314"/>
  <c r="G338"/>
  <c r="K339"/>
  <c r="K348"/>
  <c r="K509"/>
  <c r="G13"/>
  <c r="K14"/>
  <c r="H14"/>
  <c r="G41"/>
  <c r="K42"/>
  <c r="F123"/>
  <c r="H124"/>
  <c r="H153"/>
  <c r="H240"/>
  <c r="F239"/>
  <c r="F259"/>
  <c r="H262"/>
  <c r="K273"/>
  <c r="K295"/>
  <c r="K284"/>
  <c r="F327"/>
  <c r="H336"/>
  <c r="K23"/>
  <c r="K191"/>
  <c r="K270"/>
  <c r="H538"/>
  <c r="G319"/>
  <c r="K322"/>
  <c r="K336"/>
  <c r="K356"/>
  <c r="K211"/>
  <c r="K414"/>
  <c r="H414"/>
  <c r="G309"/>
  <c r="K312"/>
  <c r="K332"/>
  <c r="H339"/>
  <c r="K98"/>
  <c r="G194"/>
  <c r="K195"/>
  <c r="H291"/>
  <c r="K540"/>
  <c r="K346"/>
  <c r="K109"/>
  <c r="K245"/>
  <c r="K457"/>
  <c r="K465"/>
  <c r="K519"/>
  <c r="K410"/>
  <c r="H348"/>
  <c r="K114"/>
  <c r="G221"/>
  <c r="K222"/>
  <c r="K382"/>
  <c r="F208"/>
  <c r="H209"/>
  <c r="K237"/>
  <c r="K439"/>
  <c r="G242"/>
  <c r="K243"/>
  <c r="K354"/>
  <c r="K133"/>
  <c r="H19"/>
  <c r="F548"/>
  <c r="H550"/>
  <c r="K341"/>
  <c r="F45"/>
  <c r="F30"/>
  <c r="F29" s="1"/>
  <c r="K400"/>
  <c r="G345"/>
  <c r="K104"/>
  <c r="G272"/>
  <c r="G399"/>
  <c r="H399" s="1"/>
  <c r="K401"/>
  <c r="G47"/>
  <c r="K48"/>
  <c r="H48"/>
  <c r="F144"/>
  <c r="H145"/>
  <c r="F221"/>
  <c r="H222"/>
  <c r="K277"/>
  <c r="F417"/>
  <c r="H420"/>
  <c r="G66"/>
  <c r="K67"/>
  <c r="F201"/>
  <c r="H202"/>
  <c r="G267"/>
  <c r="H267" s="1"/>
  <c r="K268"/>
  <c r="K538"/>
  <c r="G370"/>
  <c r="K371"/>
  <c r="G471"/>
  <c r="K472"/>
  <c r="F186"/>
  <c r="H187"/>
  <c r="H284"/>
  <c r="K293"/>
  <c r="F492"/>
  <c r="H493"/>
  <c r="F430"/>
  <c r="H431"/>
  <c r="K452"/>
  <c r="H67"/>
  <c r="K169"/>
  <c r="K214"/>
  <c r="K233"/>
  <c r="G252"/>
  <c r="K253"/>
  <c r="G486"/>
  <c r="K487"/>
  <c r="K25"/>
  <c r="H69"/>
  <c r="K320"/>
  <c r="F345"/>
  <c r="H354"/>
  <c r="K389"/>
  <c r="H90"/>
  <c r="H112"/>
  <c r="H214"/>
  <c r="K218"/>
  <c r="K225"/>
  <c r="H225"/>
  <c r="G239"/>
  <c r="K240"/>
  <c r="H275"/>
  <c r="H104"/>
  <c r="H237"/>
  <c r="H268"/>
  <c r="G455"/>
  <c r="G492"/>
  <c r="K493"/>
  <c r="H501"/>
  <c r="H542"/>
  <c r="G475"/>
  <c r="K476"/>
  <c r="F498"/>
  <c r="H92"/>
  <c r="G282"/>
  <c r="K92"/>
  <c r="K542"/>
  <c r="G498"/>
  <c r="K501"/>
  <c r="K19"/>
  <c r="G80"/>
  <c r="H80" s="1"/>
  <c r="K81"/>
  <c r="G247"/>
  <c r="H247" s="1"/>
  <c r="K248"/>
  <c r="F301"/>
  <c r="H302"/>
  <c r="K90"/>
  <c r="G327"/>
  <c r="K330"/>
  <c r="G556"/>
  <c r="K557"/>
  <c r="K420"/>
  <c r="K334"/>
  <c r="K131"/>
  <c r="K549"/>
  <c r="G364"/>
  <c r="K365"/>
  <c r="K95"/>
  <c r="F436"/>
  <c r="H437"/>
  <c r="K69"/>
  <c r="K231"/>
  <c r="K291"/>
  <c r="G168"/>
  <c r="G376"/>
  <c r="G375" s="1"/>
  <c r="K377"/>
  <c r="G62"/>
  <c r="K63"/>
  <c r="H181"/>
  <c r="F464"/>
  <c r="H464" s="1"/>
  <c r="H465"/>
  <c r="G523"/>
  <c r="K524"/>
  <c r="H439"/>
  <c r="F41"/>
  <c r="H42"/>
  <c r="F137"/>
  <c r="H138"/>
  <c r="H277"/>
  <c r="F523"/>
  <c r="H524"/>
  <c r="F506"/>
  <c r="H507"/>
  <c r="K35"/>
  <c r="G162"/>
  <c r="H162" s="1"/>
  <c r="K163"/>
  <c r="F130"/>
  <c r="G130"/>
  <c r="F168"/>
  <c r="F283"/>
  <c r="K283" s="1"/>
  <c r="G447"/>
  <c r="H549"/>
  <c r="K361"/>
  <c r="F447"/>
  <c r="G54"/>
  <c r="F11"/>
  <c r="F55"/>
  <c r="H56"/>
  <c r="K202"/>
  <c r="G201"/>
  <c r="G514"/>
  <c r="H514" s="1"/>
  <c r="K517"/>
  <c r="K316"/>
  <c r="H330"/>
  <c r="F62"/>
  <c r="H63"/>
  <c r="H95"/>
  <c r="G157"/>
  <c r="K158"/>
  <c r="K174"/>
  <c r="H174"/>
  <c r="G259"/>
  <c r="K262"/>
  <c r="H536"/>
  <c r="F364"/>
  <c r="H365"/>
  <c r="K88"/>
  <c r="H131"/>
  <c r="F157"/>
  <c r="H158"/>
  <c r="H191"/>
  <c r="K255"/>
  <c r="H382"/>
  <c r="H245"/>
  <c r="F290"/>
  <c r="H293"/>
  <c r="H314"/>
  <c r="K343"/>
  <c r="H476"/>
  <c r="F475"/>
  <c r="K106"/>
  <c r="K209"/>
  <c r="H231"/>
  <c r="H243"/>
  <c r="H499"/>
  <c r="F555"/>
  <c r="H350"/>
  <c r="F376"/>
  <c r="F375" s="1"/>
  <c r="H377"/>
  <c r="H472"/>
  <c r="F471"/>
  <c r="K428"/>
  <c r="H316"/>
  <c r="K380"/>
  <c r="G506"/>
  <c r="K507"/>
  <c r="H23"/>
  <c r="G123"/>
  <c r="K124"/>
  <c r="G144"/>
  <c r="K145"/>
  <c r="H172"/>
  <c r="K187"/>
  <c r="K235"/>
  <c r="K433"/>
  <c r="F309"/>
  <c r="H310"/>
  <c r="K352"/>
  <c r="K31"/>
  <c r="F71"/>
  <c r="H72"/>
  <c r="F161"/>
  <c r="H401"/>
  <c r="F370"/>
  <c r="H371"/>
  <c r="H361"/>
  <c r="F408"/>
  <c r="F409"/>
  <c r="F387"/>
  <c r="F388"/>
  <c r="H388" s="1"/>
  <c r="I126"/>
  <c r="I125"/>
  <c r="F480" l="1"/>
  <c r="G480"/>
  <c r="H409"/>
  <c r="K358"/>
  <c r="H252"/>
  <c r="H272"/>
  <c r="H66"/>
  <c r="K438"/>
  <c r="H217"/>
  <c r="H338"/>
  <c r="H387"/>
  <c r="G386"/>
  <c r="F326"/>
  <c r="F229"/>
  <c r="F228" s="1"/>
  <c r="G416"/>
  <c r="G398" s="1"/>
  <c r="G207"/>
  <c r="G206" s="1"/>
  <c r="F76"/>
  <c r="H230"/>
  <c r="H531"/>
  <c r="H208"/>
  <c r="K409"/>
  <c r="K230"/>
  <c r="H438"/>
  <c r="F207"/>
  <c r="K216"/>
  <c r="G76"/>
  <c r="K387"/>
  <c r="H71"/>
  <c r="H216"/>
  <c r="H430"/>
  <c r="H408"/>
  <c r="G122"/>
  <c r="K123"/>
  <c r="F554"/>
  <c r="F289"/>
  <c r="K289" s="1"/>
  <c r="H290"/>
  <c r="F522"/>
  <c r="H523"/>
  <c r="G555"/>
  <c r="K556"/>
  <c r="K388"/>
  <c r="F497"/>
  <c r="H498"/>
  <c r="G491"/>
  <c r="K492"/>
  <c r="G369"/>
  <c r="K370"/>
  <c r="H417"/>
  <c r="F416"/>
  <c r="G143"/>
  <c r="K144"/>
  <c r="H376"/>
  <c r="F363"/>
  <c r="H364"/>
  <c r="G200"/>
  <c r="K201"/>
  <c r="F446"/>
  <c r="H447"/>
  <c r="F129"/>
  <c r="H130"/>
  <c r="F40"/>
  <c r="H41"/>
  <c r="F529"/>
  <c r="G363"/>
  <c r="K364"/>
  <c r="F250"/>
  <c r="K486"/>
  <c r="F491"/>
  <c r="H492"/>
  <c r="K471"/>
  <c r="G469"/>
  <c r="G470"/>
  <c r="G220"/>
  <c r="K221"/>
  <c r="G193"/>
  <c r="K194"/>
  <c r="H194"/>
  <c r="F193"/>
  <c r="G136"/>
  <c r="K137"/>
  <c r="K481"/>
  <c r="K417"/>
  <c r="G85"/>
  <c r="K86"/>
  <c r="F470"/>
  <c r="H471"/>
  <c r="F469"/>
  <c r="F61"/>
  <c r="H62"/>
  <c r="G53"/>
  <c r="F167"/>
  <c r="H168"/>
  <c r="G161"/>
  <c r="H161" s="1"/>
  <c r="K162"/>
  <c r="F505"/>
  <c r="F504" s="1"/>
  <c r="H506"/>
  <c r="K376"/>
  <c r="G288"/>
  <c r="K87"/>
  <c r="K247"/>
  <c r="G497"/>
  <c r="K498"/>
  <c r="K239"/>
  <c r="H345"/>
  <c r="F180"/>
  <c r="K180" s="1"/>
  <c r="H186"/>
  <c r="G65"/>
  <c r="H65" s="1"/>
  <c r="K66"/>
  <c r="F143"/>
  <c r="H144"/>
  <c r="G46"/>
  <c r="K47"/>
  <c r="H47"/>
  <c r="K399"/>
  <c r="K29"/>
  <c r="H30"/>
  <c r="G374"/>
  <c r="G373" s="1"/>
  <c r="K375"/>
  <c r="H327"/>
  <c r="F258"/>
  <c r="H259"/>
  <c r="F149"/>
  <c r="H150"/>
  <c r="K338"/>
  <c r="K71"/>
  <c r="K531"/>
  <c r="G530"/>
  <c r="H530" s="1"/>
  <c r="G547"/>
  <c r="K548"/>
  <c r="K30"/>
  <c r="G505"/>
  <c r="G504" s="1"/>
  <c r="K506"/>
  <c r="F156"/>
  <c r="H157"/>
  <c r="K514"/>
  <c r="G513"/>
  <c r="G129"/>
  <c r="K130"/>
  <c r="G167"/>
  <c r="K168"/>
  <c r="K408"/>
  <c r="G251"/>
  <c r="K252"/>
  <c r="F220"/>
  <c r="H221"/>
  <c r="F369"/>
  <c r="H370"/>
  <c r="G258"/>
  <c r="K259"/>
  <c r="F54"/>
  <c r="K54" s="1"/>
  <c r="H55"/>
  <c r="K55"/>
  <c r="G446"/>
  <c r="K447"/>
  <c r="G522"/>
  <c r="K523"/>
  <c r="K290"/>
  <c r="K80"/>
  <c r="K267"/>
  <c r="G266"/>
  <c r="H266" s="1"/>
  <c r="K242"/>
  <c r="G308"/>
  <c r="K309"/>
  <c r="G300"/>
  <c r="K301"/>
  <c r="K436"/>
  <c r="F85"/>
  <c r="H86"/>
  <c r="F160"/>
  <c r="H309"/>
  <c r="F308"/>
  <c r="H556"/>
  <c r="F474"/>
  <c r="H475"/>
  <c r="F374"/>
  <c r="F373" s="1"/>
  <c r="H375"/>
  <c r="G156"/>
  <c r="K157"/>
  <c r="F10"/>
  <c r="F282"/>
  <c r="K282" s="1"/>
  <c r="H283"/>
  <c r="F136"/>
  <c r="H137"/>
  <c r="G61"/>
  <c r="K62"/>
  <c r="F265"/>
  <c r="H436"/>
  <c r="H242"/>
  <c r="K327"/>
  <c r="F300"/>
  <c r="H301"/>
  <c r="G281"/>
  <c r="H87"/>
  <c r="G474"/>
  <c r="K475"/>
  <c r="G454"/>
  <c r="H201"/>
  <c r="F200"/>
  <c r="G326"/>
  <c r="K272"/>
  <c r="H239"/>
  <c r="G40"/>
  <c r="K41"/>
  <c r="G12"/>
  <c r="K13"/>
  <c r="H13"/>
  <c r="K430"/>
  <c r="G149"/>
  <c r="K150"/>
  <c r="K208"/>
  <c r="H486"/>
  <c r="H481"/>
  <c r="K464"/>
  <c r="K186"/>
  <c r="G28"/>
  <c r="K345"/>
  <c r="F44"/>
  <c r="F547"/>
  <c r="H548"/>
  <c r="K319"/>
  <c r="F122"/>
  <c r="H123"/>
  <c r="F455"/>
  <c r="H456"/>
  <c r="H319"/>
  <c r="G179"/>
  <c r="G229"/>
  <c r="F385"/>
  <c r="F386"/>
  <c r="I298"/>
  <c r="I296"/>
  <c r="I294"/>
  <c r="I558"/>
  <c r="K504" l="1"/>
  <c r="H504"/>
  <c r="F503"/>
  <c r="H326"/>
  <c r="F325"/>
  <c r="H386"/>
  <c r="H416"/>
  <c r="K207"/>
  <c r="K76"/>
  <c r="H207"/>
  <c r="F206"/>
  <c r="K206" s="1"/>
  <c r="H76"/>
  <c r="H193"/>
  <c r="H85"/>
  <c r="F479"/>
  <c r="H480"/>
  <c r="G257"/>
  <c r="K258"/>
  <c r="G128"/>
  <c r="K129"/>
  <c r="K505"/>
  <c r="G45"/>
  <c r="K46"/>
  <c r="H46"/>
  <c r="F166"/>
  <c r="H167"/>
  <c r="F468"/>
  <c r="F463" s="1"/>
  <c r="H469"/>
  <c r="K136"/>
  <c r="K220"/>
  <c r="G199"/>
  <c r="K200"/>
  <c r="G368"/>
  <c r="K369"/>
  <c r="F398"/>
  <c r="K398" s="1"/>
  <c r="F454"/>
  <c r="H454" s="1"/>
  <c r="H455"/>
  <c r="G307"/>
  <c r="K308"/>
  <c r="G205"/>
  <c r="F324"/>
  <c r="K61"/>
  <c r="G60"/>
  <c r="G59" s="1"/>
  <c r="H374"/>
  <c r="F307"/>
  <c r="H308"/>
  <c r="G299"/>
  <c r="K300"/>
  <c r="F53"/>
  <c r="H53" s="1"/>
  <c r="H54"/>
  <c r="G250"/>
  <c r="H250" s="1"/>
  <c r="K251"/>
  <c r="G166"/>
  <c r="K167"/>
  <c r="G512"/>
  <c r="G503" s="1"/>
  <c r="K513"/>
  <c r="H513"/>
  <c r="F155"/>
  <c r="H156"/>
  <c r="F257"/>
  <c r="H258"/>
  <c r="K374"/>
  <c r="F28"/>
  <c r="H29"/>
  <c r="K65"/>
  <c r="K497"/>
  <c r="K85"/>
  <c r="G479"/>
  <c r="K480"/>
  <c r="K193"/>
  <c r="K470"/>
  <c r="F39"/>
  <c r="F38" s="1"/>
  <c r="H40"/>
  <c r="F445"/>
  <c r="H446"/>
  <c r="H497"/>
  <c r="G554"/>
  <c r="H554" s="1"/>
  <c r="K555"/>
  <c r="F288"/>
  <c r="H288" s="1"/>
  <c r="H289"/>
  <c r="G397"/>
  <c r="G178"/>
  <c r="G11"/>
  <c r="K12"/>
  <c r="H12"/>
  <c r="F299"/>
  <c r="H300"/>
  <c r="F120"/>
  <c r="H122"/>
  <c r="F121"/>
  <c r="G148"/>
  <c r="G142" s="1"/>
  <c r="K149"/>
  <c r="G325"/>
  <c r="K326"/>
  <c r="K455"/>
  <c r="K474"/>
  <c r="F281"/>
  <c r="H281" s="1"/>
  <c r="H282"/>
  <c r="G445"/>
  <c r="K446"/>
  <c r="F368"/>
  <c r="H369"/>
  <c r="H220"/>
  <c r="K386"/>
  <c r="G546"/>
  <c r="K547"/>
  <c r="H143"/>
  <c r="G160"/>
  <c r="K161"/>
  <c r="H470"/>
  <c r="G468"/>
  <c r="G463" s="1"/>
  <c r="K469"/>
  <c r="F490"/>
  <c r="H491"/>
  <c r="H251"/>
  <c r="K363"/>
  <c r="H363"/>
  <c r="H555"/>
  <c r="K122"/>
  <c r="G121"/>
  <c r="G120"/>
  <c r="G27"/>
  <c r="G228"/>
  <c r="H228" s="1"/>
  <c r="K229"/>
  <c r="H385"/>
  <c r="F546"/>
  <c r="H547"/>
  <c r="G39"/>
  <c r="G38" s="1"/>
  <c r="K40"/>
  <c r="F199"/>
  <c r="H200"/>
  <c r="H136"/>
  <c r="K156"/>
  <c r="H474"/>
  <c r="G265"/>
  <c r="H265" s="1"/>
  <c r="K266"/>
  <c r="K522"/>
  <c r="H229"/>
  <c r="G529"/>
  <c r="H529" s="1"/>
  <c r="K530"/>
  <c r="F148"/>
  <c r="H149"/>
  <c r="F179"/>
  <c r="H180"/>
  <c r="H505"/>
  <c r="H61"/>
  <c r="F60"/>
  <c r="F59" s="1"/>
  <c r="F528"/>
  <c r="F128"/>
  <c r="H129"/>
  <c r="K143"/>
  <c r="K385"/>
  <c r="K491"/>
  <c r="G490"/>
  <c r="H522"/>
  <c r="F553"/>
  <c r="K416"/>
  <c r="I271"/>
  <c r="I203"/>
  <c r="I170"/>
  <c r="I70"/>
  <c r="I64"/>
  <c r="I537"/>
  <c r="I135"/>
  <c r="I132"/>
  <c r="I219"/>
  <c r="I249"/>
  <c r="I241"/>
  <c r="I210"/>
  <c r="I415"/>
  <c r="I407"/>
  <c r="I466"/>
  <c r="I508"/>
  <c r="I473"/>
  <c r="I381"/>
  <c r="I372"/>
  <c r="I379"/>
  <c r="I335"/>
  <c r="I333"/>
  <c r="I313"/>
  <c r="I311"/>
  <c r="K38" l="1"/>
  <c r="K28"/>
  <c r="F27"/>
  <c r="H38"/>
  <c r="F462"/>
  <c r="H463"/>
  <c r="G462"/>
  <c r="G461" s="1"/>
  <c r="K463"/>
  <c r="H325"/>
  <c r="H148"/>
  <c r="K53"/>
  <c r="K454"/>
  <c r="H206"/>
  <c r="F205"/>
  <c r="K205" s="1"/>
  <c r="H121"/>
  <c r="K288"/>
  <c r="H490"/>
  <c r="H257"/>
  <c r="F552"/>
  <c r="F527"/>
  <c r="K299"/>
  <c r="F198"/>
  <c r="H199"/>
  <c r="F545"/>
  <c r="H546"/>
  <c r="G227"/>
  <c r="K228"/>
  <c r="G119"/>
  <c r="K120"/>
  <c r="K148"/>
  <c r="G553"/>
  <c r="H553" s="1"/>
  <c r="K554"/>
  <c r="K373"/>
  <c r="K512"/>
  <c r="H512"/>
  <c r="K60"/>
  <c r="F397"/>
  <c r="H398"/>
  <c r="F178"/>
  <c r="H178" s="1"/>
  <c r="H179"/>
  <c r="K160"/>
  <c r="F142"/>
  <c r="H142" s="1"/>
  <c r="K281"/>
  <c r="K179"/>
  <c r="H445"/>
  <c r="F435"/>
  <c r="K490"/>
  <c r="F127"/>
  <c r="H128"/>
  <c r="H60"/>
  <c r="H59"/>
  <c r="G528"/>
  <c r="K529"/>
  <c r="G155"/>
  <c r="K121"/>
  <c r="G467"/>
  <c r="K468"/>
  <c r="K445"/>
  <c r="G435"/>
  <c r="G396" s="1"/>
  <c r="F264"/>
  <c r="G324"/>
  <c r="H324" s="1"/>
  <c r="K325"/>
  <c r="F119"/>
  <c r="H120"/>
  <c r="H299"/>
  <c r="G10"/>
  <c r="K11"/>
  <c r="H11"/>
  <c r="H39"/>
  <c r="H28"/>
  <c r="F306"/>
  <c r="H307"/>
  <c r="G306"/>
  <c r="K307"/>
  <c r="G198"/>
  <c r="K199"/>
  <c r="F165"/>
  <c r="H166"/>
  <c r="G127"/>
  <c r="K128"/>
  <c r="K39"/>
  <c r="G545"/>
  <c r="K546"/>
  <c r="F367"/>
  <c r="H368"/>
  <c r="G478"/>
  <c r="K479"/>
  <c r="K250"/>
  <c r="K257"/>
  <c r="K265"/>
  <c r="G264"/>
  <c r="G165"/>
  <c r="K166"/>
  <c r="H373"/>
  <c r="G367"/>
  <c r="K368"/>
  <c r="F467"/>
  <c r="H468"/>
  <c r="G44"/>
  <c r="K45"/>
  <c r="H45"/>
  <c r="F227"/>
  <c r="H160"/>
  <c r="F478"/>
  <c r="H479"/>
  <c r="I510"/>
  <c r="I489"/>
  <c r="I488"/>
  <c r="I441"/>
  <c r="I413"/>
  <c r="I412"/>
  <c r="I405"/>
  <c r="I404"/>
  <c r="I403"/>
  <c r="I402"/>
  <c r="I395"/>
  <c r="I393"/>
  <c r="I392"/>
  <c r="I391"/>
  <c r="I390"/>
  <c r="I340"/>
  <c r="F305" l="1"/>
  <c r="G460"/>
  <c r="G305"/>
  <c r="K27"/>
  <c r="K462"/>
  <c r="H462"/>
  <c r="F461"/>
  <c r="F460" s="1"/>
  <c r="H205"/>
  <c r="H119"/>
  <c r="H227"/>
  <c r="K178"/>
  <c r="H545"/>
  <c r="F204"/>
  <c r="H367"/>
  <c r="H478"/>
  <c r="K59"/>
  <c r="H467"/>
  <c r="K264"/>
  <c r="K478"/>
  <c r="K467"/>
  <c r="K165"/>
  <c r="G141"/>
  <c r="K198"/>
  <c r="K306"/>
  <c r="K435"/>
  <c r="H397"/>
  <c r="F396"/>
  <c r="K396" s="1"/>
  <c r="K44"/>
  <c r="H44"/>
  <c r="F141"/>
  <c r="H165"/>
  <c r="G527"/>
  <c r="K528"/>
  <c r="H127"/>
  <c r="H435"/>
  <c r="K503"/>
  <c r="H503"/>
  <c r="H528"/>
  <c r="K127"/>
  <c r="K142"/>
  <c r="H306"/>
  <c r="K10"/>
  <c r="H10"/>
  <c r="K367"/>
  <c r="K397"/>
  <c r="K545"/>
  <c r="H27"/>
  <c r="K324"/>
  <c r="K155"/>
  <c r="H155"/>
  <c r="G552"/>
  <c r="K553"/>
  <c r="K227"/>
  <c r="H198"/>
  <c r="H264"/>
  <c r="G204"/>
  <c r="K119"/>
  <c r="I292"/>
  <c r="I256"/>
  <c r="I254"/>
  <c r="I226"/>
  <c r="I213"/>
  <c r="I212"/>
  <c r="I134"/>
  <c r="I111"/>
  <c r="I110"/>
  <c r="I105"/>
  <c r="I68"/>
  <c r="I37"/>
  <c r="I36"/>
  <c r="I15"/>
  <c r="H305" l="1"/>
  <c r="K305"/>
  <c r="G17"/>
  <c r="G9" s="1"/>
  <c r="G559" s="1"/>
  <c r="K461"/>
  <c r="H461"/>
  <c r="K204"/>
  <c r="K552"/>
  <c r="H552"/>
  <c r="K527"/>
  <c r="H527"/>
  <c r="K141"/>
  <c r="H141"/>
  <c r="H204"/>
  <c r="H396"/>
  <c r="I421"/>
  <c r="I440"/>
  <c r="I411"/>
  <c r="I118"/>
  <c r="I117"/>
  <c r="I116"/>
  <c r="I115"/>
  <c r="H460" l="1"/>
  <c r="K460"/>
  <c r="H18"/>
  <c r="F17"/>
  <c r="F9" s="1"/>
  <c r="K18"/>
  <c r="E509"/>
  <c r="I509" s="1"/>
  <c r="I511"/>
  <c r="I518"/>
  <c r="I215"/>
  <c r="F559" l="1"/>
  <c r="H9"/>
  <c r="K9"/>
  <c r="H17"/>
  <c r="K17"/>
  <c r="E83"/>
  <c r="I83" s="1"/>
  <c r="E82"/>
  <c r="I164"/>
  <c r="E139"/>
  <c r="E81" l="1"/>
  <c r="I82"/>
  <c r="E138"/>
  <c r="I139"/>
  <c r="I378"/>
  <c r="E137" l="1"/>
  <c r="I138"/>
  <c r="E80"/>
  <c r="I80" s="1"/>
  <c r="I81"/>
  <c r="I331"/>
  <c r="E136" l="1"/>
  <c r="I136" s="1"/>
  <c r="I137"/>
  <c r="I342"/>
  <c r="H559" l="1"/>
  <c r="I526"/>
  <c r="I525"/>
  <c r="I485"/>
  <c r="I484"/>
  <c r="I483"/>
  <c r="I477"/>
  <c r="I434"/>
  <c r="I432"/>
  <c r="I344"/>
  <c r="I337"/>
  <c r="E328"/>
  <c r="I328" s="1"/>
  <c r="I315"/>
  <c r="I246"/>
  <c r="I244"/>
  <c r="I238"/>
  <c r="I236"/>
  <c r="E196"/>
  <c r="I175"/>
  <c r="I173"/>
  <c r="E163"/>
  <c r="I147"/>
  <c r="E124"/>
  <c r="I124" s="1"/>
  <c r="E109"/>
  <c r="I109" s="1"/>
  <c r="I100"/>
  <c r="I99"/>
  <c r="I97"/>
  <c r="I96"/>
  <c r="I94"/>
  <c r="I93"/>
  <c r="I52"/>
  <c r="I50"/>
  <c r="I49"/>
  <c r="I26"/>
  <c r="I22"/>
  <c r="I21"/>
  <c r="I20"/>
  <c r="K559" l="1"/>
  <c r="E162"/>
  <c r="I163"/>
  <c r="E195"/>
  <c r="I196"/>
  <c r="I107"/>
  <c r="I108"/>
  <c r="E194" l="1"/>
  <c r="I195"/>
  <c r="E161"/>
  <c r="I162"/>
  <c r="I113"/>
  <c r="E160" l="1"/>
  <c r="I160" s="1"/>
  <c r="I161"/>
  <c r="E193"/>
  <c r="I193" s="1"/>
  <c r="I194"/>
  <c r="I353"/>
  <c r="I351"/>
  <c r="I349"/>
  <c r="I347"/>
  <c r="E410" l="1"/>
  <c r="I410" s="1"/>
  <c r="I502"/>
  <c r="E543" l="1"/>
  <c r="I551"/>
  <c r="I500"/>
  <c r="I280"/>
  <c r="I276"/>
  <c r="I278"/>
  <c r="I274"/>
  <c r="I287"/>
  <c r="I188"/>
  <c r="E133"/>
  <c r="I133" s="1"/>
  <c r="E112"/>
  <c r="I112" s="1"/>
  <c r="I89"/>
  <c r="I453"/>
  <c r="I192"/>
  <c r="E169" l="1"/>
  <c r="I169" s="1"/>
  <c r="I171"/>
  <c r="E14"/>
  <c r="I14" s="1"/>
  <c r="I16"/>
  <c r="E542"/>
  <c r="I542" s="1"/>
  <c r="I543"/>
  <c r="E253"/>
  <c r="I253" s="1"/>
  <c r="E223"/>
  <c r="I223" s="1"/>
  <c r="I159"/>
  <c r="I91"/>
  <c r="E35"/>
  <c r="I35" s="1"/>
  <c r="I366" l="1"/>
  <c r="E320" l="1"/>
  <c r="I320" s="1"/>
  <c r="I321"/>
  <c r="E359"/>
  <c r="I359" s="1"/>
  <c r="I360"/>
  <c r="I429"/>
  <c r="E323" l="1"/>
  <c r="I323" s="1"/>
  <c r="I232"/>
  <c r="I234"/>
  <c r="E291"/>
  <c r="I291" s="1"/>
  <c r="E358" l="1"/>
  <c r="I358" s="1"/>
  <c r="I362"/>
  <c r="I24"/>
  <c r="E352"/>
  <c r="I352" s="1"/>
  <c r="E350"/>
  <c r="I350" s="1"/>
  <c r="I355"/>
  <c r="I357"/>
  <c r="E348"/>
  <c r="I348" s="1"/>
  <c r="I451"/>
  <c r="I449"/>
  <c r="E431"/>
  <c r="I431" s="1"/>
  <c r="I541"/>
  <c r="I539"/>
  <c r="E346" l="1"/>
  <c r="I346" s="1"/>
  <c r="I263"/>
  <c r="I494"/>
  <c r="E279"/>
  <c r="I279" s="1"/>
  <c r="E277"/>
  <c r="I277" s="1"/>
  <c r="E275"/>
  <c r="I275" s="1"/>
  <c r="E273"/>
  <c r="I273" s="1"/>
  <c r="I269"/>
  <c r="I285"/>
  <c r="I43"/>
  <c r="E520"/>
  <c r="E519" l="1"/>
  <c r="I519" s="1"/>
  <c r="I520"/>
  <c r="E153"/>
  <c r="E150" s="1"/>
  <c r="I154"/>
  <c r="E272"/>
  <c r="I272" s="1"/>
  <c r="E158"/>
  <c r="I153" l="1"/>
  <c r="E157"/>
  <c r="I158"/>
  <c r="E225"/>
  <c r="E104"/>
  <c r="I104" s="1"/>
  <c r="E131"/>
  <c r="E130" l="1"/>
  <c r="I130" s="1"/>
  <c r="I131"/>
  <c r="E156"/>
  <c r="I157"/>
  <c r="E222"/>
  <c r="I222" s="1"/>
  <c r="I225"/>
  <c r="E149"/>
  <c r="I150"/>
  <c r="E248"/>
  <c r="E515"/>
  <c r="I515" s="1"/>
  <c r="E517"/>
  <c r="I517" s="1"/>
  <c r="E155" l="1"/>
  <c r="I155" s="1"/>
  <c r="I156"/>
  <c r="E148"/>
  <c r="I148" s="1"/>
  <c r="I149"/>
  <c r="E247"/>
  <c r="I247" s="1"/>
  <c r="I248"/>
  <c r="E514"/>
  <c r="E513" l="1"/>
  <c r="I513" s="1"/>
  <c r="I514"/>
  <c r="E482"/>
  <c r="I482" s="1"/>
  <c r="E114" l="1"/>
  <c r="E25"/>
  <c r="I25" s="1"/>
  <c r="E23"/>
  <c r="I23" s="1"/>
  <c r="E19"/>
  <c r="E507"/>
  <c r="I507" s="1"/>
  <c r="E487"/>
  <c r="E476"/>
  <c r="E472"/>
  <c r="E389"/>
  <c r="E380"/>
  <c r="I380" s="1"/>
  <c r="E377"/>
  <c r="I377" s="1"/>
  <c r="E371"/>
  <c r="E365"/>
  <c r="E361"/>
  <c r="I361" s="1"/>
  <c r="E356"/>
  <c r="I356" s="1"/>
  <c r="E354"/>
  <c r="I354" s="1"/>
  <c r="E343"/>
  <c r="I343" s="1"/>
  <c r="E341"/>
  <c r="I341" s="1"/>
  <c r="E339"/>
  <c r="I339" s="1"/>
  <c r="E336"/>
  <c r="I336" s="1"/>
  <c r="E334"/>
  <c r="I334" s="1"/>
  <c r="E332"/>
  <c r="I332" s="1"/>
  <c r="E330"/>
  <c r="I330" s="1"/>
  <c r="E322"/>
  <c r="E317"/>
  <c r="E314"/>
  <c r="I314" s="1"/>
  <c r="E312"/>
  <c r="I312" s="1"/>
  <c r="E310"/>
  <c r="I310" s="1"/>
  <c r="E452"/>
  <c r="I452" s="1"/>
  <c r="E450"/>
  <c r="I450" s="1"/>
  <c r="E448"/>
  <c r="I448" s="1"/>
  <c r="E443"/>
  <c r="I443" s="1"/>
  <c r="E439"/>
  <c r="I439" s="1"/>
  <c r="E433"/>
  <c r="E428"/>
  <c r="I428" s="1"/>
  <c r="E426"/>
  <c r="I426" s="1"/>
  <c r="E424"/>
  <c r="I424" s="1"/>
  <c r="E422"/>
  <c r="I422" s="1"/>
  <c r="E420"/>
  <c r="I420" s="1"/>
  <c r="E418"/>
  <c r="I418" s="1"/>
  <c r="E414"/>
  <c r="I414" s="1"/>
  <c r="E406"/>
  <c r="I406" s="1"/>
  <c r="E401"/>
  <c r="I401" s="1"/>
  <c r="E400"/>
  <c r="I400" s="1"/>
  <c r="E557"/>
  <c r="E550"/>
  <c r="E549"/>
  <c r="I549" s="1"/>
  <c r="E540"/>
  <c r="I540" s="1"/>
  <c r="E538"/>
  <c r="I538" s="1"/>
  <c r="E536"/>
  <c r="I536" s="1"/>
  <c r="E534"/>
  <c r="I534" s="1"/>
  <c r="E532"/>
  <c r="I532" s="1"/>
  <c r="E524"/>
  <c r="I524" s="1"/>
  <c r="E512"/>
  <c r="I512" s="1"/>
  <c r="E501"/>
  <c r="I501" s="1"/>
  <c r="E499"/>
  <c r="I499" s="1"/>
  <c r="E495"/>
  <c r="I495" s="1"/>
  <c r="E493"/>
  <c r="I493" s="1"/>
  <c r="E481"/>
  <c r="E465"/>
  <c r="E458"/>
  <c r="E383"/>
  <c r="E303"/>
  <c r="E297"/>
  <c r="I297" s="1"/>
  <c r="E295"/>
  <c r="I295" s="1"/>
  <c r="E293"/>
  <c r="I293" s="1"/>
  <c r="E286"/>
  <c r="I286" s="1"/>
  <c r="E284"/>
  <c r="I284" s="1"/>
  <c r="E270"/>
  <c r="I270" s="1"/>
  <c r="E268"/>
  <c r="I268" s="1"/>
  <c r="E262"/>
  <c r="I262" s="1"/>
  <c r="E260"/>
  <c r="I260" s="1"/>
  <c r="E255"/>
  <c r="E245"/>
  <c r="I245" s="1"/>
  <c r="E243"/>
  <c r="I243" s="1"/>
  <c r="E240"/>
  <c r="E237"/>
  <c r="I237" s="1"/>
  <c r="E235"/>
  <c r="I235" s="1"/>
  <c r="E233"/>
  <c r="I233" s="1"/>
  <c r="E231"/>
  <c r="I231" s="1"/>
  <c r="E218"/>
  <c r="E214"/>
  <c r="I214" s="1"/>
  <c r="E211"/>
  <c r="I211" s="1"/>
  <c r="E209"/>
  <c r="I209" s="1"/>
  <c r="E202"/>
  <c r="E191"/>
  <c r="I191" s="1"/>
  <c r="E189"/>
  <c r="I189" s="1"/>
  <c r="E187"/>
  <c r="I187" s="1"/>
  <c r="E184"/>
  <c r="I184" s="1"/>
  <c r="E182"/>
  <c r="I182" s="1"/>
  <c r="E176"/>
  <c r="I176" s="1"/>
  <c r="E174"/>
  <c r="I174" s="1"/>
  <c r="E172"/>
  <c r="I172" s="1"/>
  <c r="E146"/>
  <c r="E123"/>
  <c r="E106"/>
  <c r="I106" s="1"/>
  <c r="E101"/>
  <c r="I101" s="1"/>
  <c r="E98"/>
  <c r="I98" s="1"/>
  <c r="E95"/>
  <c r="I95" s="1"/>
  <c r="E92"/>
  <c r="E90"/>
  <c r="I90" s="1"/>
  <c r="E88"/>
  <c r="I88" s="1"/>
  <c r="E78"/>
  <c r="I78" s="1"/>
  <c r="E77"/>
  <c r="I77" s="1"/>
  <c r="E74"/>
  <c r="I74" s="1"/>
  <c r="E73"/>
  <c r="I73" s="1"/>
  <c r="E69"/>
  <c r="I69" s="1"/>
  <c r="E67"/>
  <c r="I67" s="1"/>
  <c r="E63"/>
  <c r="E57"/>
  <c r="E42"/>
  <c r="E31"/>
  <c r="E13"/>
  <c r="E51"/>
  <c r="I51" s="1"/>
  <c r="E48"/>
  <c r="I92" l="1"/>
  <c r="E87"/>
  <c r="I19"/>
  <c r="E18"/>
  <c r="E239"/>
  <c r="I239" s="1"/>
  <c r="I240"/>
  <c r="I465"/>
  <c r="E319"/>
  <c r="I319" s="1"/>
  <c r="I322"/>
  <c r="E370"/>
  <c r="I371"/>
  <c r="E471"/>
  <c r="E470" s="1"/>
  <c r="I470" s="1"/>
  <c r="I472"/>
  <c r="E47"/>
  <c r="I47" s="1"/>
  <c r="I48"/>
  <c r="E122"/>
  <c r="I122" s="1"/>
  <c r="I123"/>
  <c r="E302"/>
  <c r="I303"/>
  <c r="I481"/>
  <c r="E475"/>
  <c r="I476"/>
  <c r="E41"/>
  <c r="I42"/>
  <c r="E56"/>
  <c r="I57"/>
  <c r="E145"/>
  <c r="I146"/>
  <c r="E382"/>
  <c r="I383"/>
  <c r="E548"/>
  <c r="I550"/>
  <c r="E430"/>
  <c r="I430" s="1"/>
  <c r="I433"/>
  <c r="E486"/>
  <c r="E480" s="1"/>
  <c r="I487"/>
  <c r="E30"/>
  <c r="I30" s="1"/>
  <c r="I31"/>
  <c r="E12"/>
  <c r="I13"/>
  <c r="E62"/>
  <c r="I63"/>
  <c r="E201"/>
  <c r="I202"/>
  <c r="E217"/>
  <c r="I217" s="1"/>
  <c r="I218"/>
  <c r="E252"/>
  <c r="I252" s="1"/>
  <c r="I255"/>
  <c r="E457"/>
  <c r="I458"/>
  <c r="E556"/>
  <c r="I557"/>
  <c r="E316"/>
  <c r="I316" s="1"/>
  <c r="I317"/>
  <c r="E364"/>
  <c r="I365"/>
  <c r="E388"/>
  <c r="I388" s="1"/>
  <c r="I389"/>
  <c r="I114"/>
  <c r="E345"/>
  <c r="I345" s="1"/>
  <c r="E327"/>
  <c r="I327" s="1"/>
  <c r="E168"/>
  <c r="E290"/>
  <c r="E523"/>
  <c r="E438"/>
  <c r="I438" s="1"/>
  <c r="E399"/>
  <c r="I399" s="1"/>
  <c r="E221"/>
  <c r="E338"/>
  <c r="I338" s="1"/>
  <c r="E129"/>
  <c r="I129" s="1"/>
  <c r="E447"/>
  <c r="E437"/>
  <c r="E498"/>
  <c r="E492"/>
  <c r="E283"/>
  <c r="E267"/>
  <c r="I267" s="1"/>
  <c r="E309"/>
  <c r="E506"/>
  <c r="E66"/>
  <c r="E531"/>
  <c r="E181"/>
  <c r="I181" s="1"/>
  <c r="E387"/>
  <c r="E186"/>
  <c r="I186" s="1"/>
  <c r="E242"/>
  <c r="I242" s="1"/>
  <c r="E216"/>
  <c r="I216" s="1"/>
  <c r="E464"/>
  <c r="I464" s="1"/>
  <c r="E259"/>
  <c r="E72"/>
  <c r="E208"/>
  <c r="I208" s="1"/>
  <c r="E376"/>
  <c r="E375" s="1"/>
  <c r="E374" s="1"/>
  <c r="E230"/>
  <c r="I230" s="1"/>
  <c r="E408"/>
  <c r="I408" s="1"/>
  <c r="E417"/>
  <c r="E409"/>
  <c r="I409" s="1"/>
  <c r="E120" l="1"/>
  <c r="E119" s="1"/>
  <c r="I119" s="1"/>
  <c r="E121"/>
  <c r="I121" s="1"/>
  <c r="E251"/>
  <c r="E250" s="1"/>
  <c r="I250" s="1"/>
  <c r="E46"/>
  <c r="I46" s="1"/>
  <c r="E29"/>
  <c r="E28" s="1"/>
  <c r="E416"/>
  <c r="I416" s="1"/>
  <c r="I417"/>
  <c r="E385"/>
  <c r="I385" s="1"/>
  <c r="I387"/>
  <c r="E505"/>
  <c r="E504" s="1"/>
  <c r="I506"/>
  <c r="E282"/>
  <c r="I283"/>
  <c r="E446"/>
  <c r="I447"/>
  <c r="E289"/>
  <c r="I290"/>
  <c r="E491"/>
  <c r="I491" s="1"/>
  <c r="I492"/>
  <c r="E456"/>
  <c r="I457"/>
  <c r="E61"/>
  <c r="I61" s="1"/>
  <c r="I62"/>
  <c r="E373"/>
  <c r="I382"/>
  <c r="E55"/>
  <c r="I56"/>
  <c r="E474"/>
  <c r="I474" s="1"/>
  <c r="I475"/>
  <c r="E301"/>
  <c r="I302"/>
  <c r="E369"/>
  <c r="I370"/>
  <c r="E71"/>
  <c r="I71" s="1"/>
  <c r="I72"/>
  <c r="E258"/>
  <c r="I259"/>
  <c r="E530"/>
  <c r="I530" s="1"/>
  <c r="I531"/>
  <c r="E308"/>
  <c r="I309"/>
  <c r="E497"/>
  <c r="I497" s="1"/>
  <c r="I498"/>
  <c r="E522"/>
  <c r="I523"/>
  <c r="E167"/>
  <c r="I168"/>
  <c r="I376"/>
  <c r="E65"/>
  <c r="I66"/>
  <c r="E436"/>
  <c r="I436" s="1"/>
  <c r="I437"/>
  <c r="E220"/>
  <c r="I220" s="1"/>
  <c r="I221"/>
  <c r="E86"/>
  <c r="E85" s="1"/>
  <c r="I87"/>
  <c r="E363"/>
  <c r="I363" s="1"/>
  <c r="I364"/>
  <c r="E555"/>
  <c r="I556"/>
  <c r="E200"/>
  <c r="I201"/>
  <c r="E11"/>
  <c r="I12"/>
  <c r="I486"/>
  <c r="E547"/>
  <c r="I548"/>
  <c r="E144"/>
  <c r="I145"/>
  <c r="E40"/>
  <c r="I41"/>
  <c r="E479"/>
  <c r="I480"/>
  <c r="E469"/>
  <c r="E468" s="1"/>
  <c r="I471"/>
  <c r="E128"/>
  <c r="E266"/>
  <c r="E326"/>
  <c r="E229"/>
  <c r="E180"/>
  <c r="E386"/>
  <c r="I386" s="1"/>
  <c r="E76"/>
  <c r="I76" s="1"/>
  <c r="E207"/>
  <c r="E503" l="1"/>
  <c r="I503" s="1"/>
  <c r="I504"/>
  <c r="I479"/>
  <c r="I120"/>
  <c r="E45"/>
  <c r="I45" s="1"/>
  <c r="I29"/>
  <c r="E490"/>
  <c r="E478" s="1"/>
  <c r="I251"/>
  <c r="E398"/>
  <c r="I398" s="1"/>
  <c r="E529"/>
  <c r="E528" s="1"/>
  <c r="E179"/>
  <c r="I179" s="1"/>
  <c r="I180"/>
  <c r="E206"/>
  <c r="I207"/>
  <c r="E228"/>
  <c r="I229"/>
  <c r="E127"/>
  <c r="I127" s="1"/>
  <c r="I128"/>
  <c r="E325"/>
  <c r="I326"/>
  <c r="E60"/>
  <c r="E59" s="1"/>
  <c r="I65"/>
  <c r="I522"/>
  <c r="E307"/>
  <c r="I308"/>
  <c r="E257"/>
  <c r="I257" s="1"/>
  <c r="I258"/>
  <c r="E300"/>
  <c r="I301"/>
  <c r="E54"/>
  <c r="I55"/>
  <c r="E288"/>
  <c r="I288" s="1"/>
  <c r="I289"/>
  <c r="E281"/>
  <c r="I281" s="1"/>
  <c r="I282"/>
  <c r="E143"/>
  <c r="I144"/>
  <c r="E199"/>
  <c r="I200"/>
  <c r="I85"/>
  <c r="I86"/>
  <c r="E265"/>
  <c r="I266"/>
  <c r="I469"/>
  <c r="E463"/>
  <c r="E39"/>
  <c r="I40"/>
  <c r="E546"/>
  <c r="I547"/>
  <c r="E10"/>
  <c r="I11"/>
  <c r="E554"/>
  <c r="I555"/>
  <c r="E27"/>
  <c r="I27" s="1"/>
  <c r="I28"/>
  <c r="E166"/>
  <c r="I167"/>
  <c r="E368"/>
  <c r="I369"/>
  <c r="I375"/>
  <c r="E455"/>
  <c r="I456"/>
  <c r="E445"/>
  <c r="I446"/>
  <c r="I505"/>
  <c r="E44" l="1"/>
  <c r="I44" s="1"/>
  <c r="I39"/>
  <c r="E38"/>
  <c r="I38" s="1"/>
  <c r="I10"/>
  <c r="E462"/>
  <c r="I463"/>
  <c r="E397"/>
  <c r="I397" s="1"/>
  <c r="I490"/>
  <c r="I529"/>
  <c r="E178"/>
  <c r="I178" s="1"/>
  <c r="E467"/>
  <c r="I468"/>
  <c r="E367"/>
  <c r="I367" s="1"/>
  <c r="I368"/>
  <c r="E545"/>
  <c r="I545" s="1"/>
  <c r="I546"/>
  <c r="E527"/>
  <c r="I527" s="1"/>
  <c r="I528"/>
  <c r="E198"/>
  <c r="I198" s="1"/>
  <c r="I199"/>
  <c r="I478"/>
  <c r="E299"/>
  <c r="I299" s="1"/>
  <c r="I300"/>
  <c r="I60"/>
  <c r="E324"/>
  <c r="I325"/>
  <c r="E205"/>
  <c r="I206"/>
  <c r="E165"/>
  <c r="I165" s="1"/>
  <c r="I166"/>
  <c r="E553"/>
  <c r="I554"/>
  <c r="E454"/>
  <c r="I454" s="1"/>
  <c r="I455"/>
  <c r="I445"/>
  <c r="E435"/>
  <c r="I374"/>
  <c r="E264"/>
  <c r="I264" s="1"/>
  <c r="I265"/>
  <c r="E142"/>
  <c r="I142" s="1"/>
  <c r="I143"/>
  <c r="E53"/>
  <c r="I53" s="1"/>
  <c r="I54"/>
  <c r="E306"/>
  <c r="I307"/>
  <c r="E227"/>
  <c r="I227" s="1"/>
  <c r="I228"/>
  <c r="I306" l="1"/>
  <c r="E305"/>
  <c r="I305" s="1"/>
  <c r="E461"/>
  <c r="I462"/>
  <c r="I435"/>
  <c r="E396"/>
  <c r="I59"/>
  <c r="I205"/>
  <c r="E204"/>
  <c r="I204" s="1"/>
  <c r="E141"/>
  <c r="I141" s="1"/>
  <c r="E552"/>
  <c r="I552" s="1"/>
  <c r="I553"/>
  <c r="I373"/>
  <c r="I324"/>
  <c r="I467"/>
  <c r="I461" l="1"/>
  <c r="E460"/>
  <c r="I396"/>
  <c r="I460" l="1"/>
  <c r="E17"/>
  <c r="I18"/>
  <c r="E9" l="1"/>
  <c r="I17"/>
  <c r="I9" l="1"/>
  <c r="E559"/>
  <c r="I559" s="1"/>
</calcChain>
</file>

<file path=xl/sharedStrings.xml><?xml version="1.0" encoding="utf-8"?>
<sst xmlns="http://schemas.openxmlformats.org/spreadsheetml/2006/main" count="2307" uniqueCount="591">
  <si>
    <t>02 0 00 00000</t>
  </si>
  <si>
    <t>02 3 00 00000</t>
  </si>
  <si>
    <t>01 0 00 00000</t>
  </si>
  <si>
    <t>01 1 00 00000</t>
  </si>
  <si>
    <t>01 1 01 20030</t>
  </si>
  <si>
    <t>03 0 00 00000</t>
  </si>
  <si>
    <t>06 3 00 00000</t>
  </si>
  <si>
    <t>Подпрограмма "Доступная среда"</t>
  </si>
  <si>
    <t>09 0 00 00000</t>
  </si>
  <si>
    <t>09 1 00 00000</t>
  </si>
  <si>
    <t>05 0 00 00000</t>
  </si>
  <si>
    <t>05 1 00 00000</t>
  </si>
  <si>
    <t>05 1 01 70590</t>
  </si>
  <si>
    <t>05 1 01 70610</t>
  </si>
  <si>
    <t>05 2 00 00000</t>
  </si>
  <si>
    <t>05 2 01 70590</t>
  </si>
  <si>
    <t>05 2 01 70610</t>
  </si>
  <si>
    <t>05 4 00 00000</t>
  </si>
  <si>
    <t>02 1 00 00000</t>
  </si>
  <si>
    <t>02 2 00 00000</t>
  </si>
  <si>
    <t>02 3 02 93080</t>
  </si>
  <si>
    <t>02 5 00 00000</t>
  </si>
  <si>
    <t>02 5 01 70590</t>
  </si>
  <si>
    <t>Подпрограмма "Социальная поддержка семей и детей"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</si>
  <si>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</si>
  <si>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99 0 00 10040</t>
  </si>
  <si>
    <t>000</t>
  </si>
  <si>
    <t>Общегосударственные вопросы</t>
  </si>
  <si>
    <t>Обслуживание государственного и муниципального долга</t>
  </si>
  <si>
    <t>Резервные фонды</t>
  </si>
  <si>
    <t>Образование</t>
  </si>
  <si>
    <t>Общее образование</t>
  </si>
  <si>
    <t>Другие вопросы в области образования</t>
  </si>
  <si>
    <t>Пенсионное обеспечение</t>
  </si>
  <si>
    <t>Наименование</t>
  </si>
  <si>
    <t>Целевая статья</t>
  </si>
  <si>
    <t>Вид расходов</t>
  </si>
  <si>
    <t>Дошкольное образование</t>
  </si>
  <si>
    <t>0801</t>
  </si>
  <si>
    <t>Процентные платежи по муниципальному долгу</t>
  </si>
  <si>
    <t>Культура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</si>
  <si>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</si>
  <si>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Физическая культура и спорт</t>
  </si>
  <si>
    <t>Руководство и управление в сфере установленных функций</t>
  </si>
  <si>
    <t>0700</t>
  </si>
  <si>
    <t>0701</t>
  </si>
  <si>
    <t>0702</t>
  </si>
  <si>
    <t>0709</t>
  </si>
  <si>
    <t>1001</t>
  </si>
  <si>
    <t>0100</t>
  </si>
  <si>
    <t>0800</t>
  </si>
  <si>
    <t>1100</t>
  </si>
  <si>
    <t>0103</t>
  </si>
  <si>
    <t>0104</t>
  </si>
  <si>
    <t>0106</t>
  </si>
  <si>
    <t>Национальная экономика</t>
  </si>
  <si>
    <t>0400</t>
  </si>
  <si>
    <t>Социальная политика</t>
  </si>
  <si>
    <t>1000</t>
  </si>
  <si>
    <t>Обеспечение деятельностит финансовых, налоговых и таможенных органов и органов финансового (финансово- бюджетного) надзора</t>
  </si>
  <si>
    <t>Всего расходов</t>
  </si>
  <si>
    <t>Раздел, подраздел</t>
  </si>
  <si>
    <t>Транспорт</t>
  </si>
  <si>
    <t>0408</t>
  </si>
  <si>
    <t>0111</t>
  </si>
  <si>
    <t>0113</t>
  </si>
  <si>
    <t>1300</t>
  </si>
  <si>
    <t>Обслуживание государственного внутреннего  и муниципального долга</t>
  </si>
  <si>
    <t>Культура и  кинематография</t>
  </si>
  <si>
    <t>0804</t>
  </si>
  <si>
    <t>Охрана семьи и детства</t>
  </si>
  <si>
    <t>1004</t>
  </si>
  <si>
    <t>Средства массовой информации</t>
  </si>
  <si>
    <t>1200</t>
  </si>
  <si>
    <t>Периодическая печать и издательства</t>
  </si>
  <si>
    <t>1202</t>
  </si>
  <si>
    <t>Национальная оборона</t>
  </si>
  <si>
    <t>0200</t>
  </si>
  <si>
    <t>0203</t>
  </si>
  <si>
    <t>Расходы, связанные с исполнением решений, принятых судебными органами</t>
  </si>
  <si>
    <t>Резервные средства</t>
  </si>
  <si>
    <t>870</t>
  </si>
  <si>
    <t>810</t>
  </si>
  <si>
    <t>к муниципальному правовому акту</t>
  </si>
  <si>
    <t>0707</t>
  </si>
  <si>
    <t>Социальное обеспечение населения</t>
  </si>
  <si>
    <t>1003</t>
  </si>
  <si>
    <t>Здравоохранение</t>
  </si>
  <si>
    <t>Другие вопросы в области здравоохранения</t>
  </si>
  <si>
    <t>0900</t>
  </si>
  <si>
    <t>0909</t>
  </si>
  <si>
    <t>Дорожное хозяйство (дорожные фонды)</t>
  </si>
  <si>
    <t>0409</t>
  </si>
  <si>
    <t>Руководство и управление в сфере установленных функций органов  местного самоуправления</t>
  </si>
  <si>
    <t xml:space="preserve">Председатель контрольно-счетной комиссии </t>
  </si>
  <si>
    <t>Субвенции на осуществление первичного воинского учета на территориях, где отсутствуют военные комиссариаты в рамках непрограммных расходов федеральных органов исполнительной власти</t>
  </si>
  <si>
    <t>Субвенции на создание и обеспечение деятельности комиссий по делам несовершеннолетних и защите их прав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</si>
  <si>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</si>
  <si>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Субвенции на реализацию отдельных государственных полномочий по созданию административных комиссий</t>
  </si>
  <si>
    <t>Оценка недвижимости, признание прав и регулирование отношений муниципальной собственности</t>
  </si>
  <si>
    <t>Функционирование высшего должностного лица субъекта российской федерации и органа местного самоуправления</t>
  </si>
  <si>
    <t>0102</t>
  </si>
  <si>
    <t xml:space="preserve">Функционирование Правительства Российской Федерации, высших исполнительных органов государственной власти, местных администраций </t>
  </si>
  <si>
    <t>Мобилизационная и вневойсковая подготовка</t>
  </si>
  <si>
    <t xml:space="preserve"> Субсидии юридическим лицам (кроме некомерческих организаций), индивидуальным предпринимателям, физическим лицам</t>
  </si>
  <si>
    <t>Проведение мероприятий для детей и молодежи</t>
  </si>
  <si>
    <t>Пенсии за выслугу лет муниципальным служащим</t>
  </si>
  <si>
    <t>Другие вопросы в области социальной политики</t>
  </si>
  <si>
    <t>1006</t>
  </si>
  <si>
    <t>630</t>
  </si>
  <si>
    <t>Реализация физкультурных и спортивно-массовых мероприятий; участие спортсменов в краевых, межрегиональных и международных физкультурных и спортивных мероприятиях, привлечение медицинского персонала, приобретение инвентаря и формы</t>
  </si>
  <si>
    <t>Обеспечение материального стимулирования организаторов физкультурно-массовой работы в поселениях</t>
  </si>
  <si>
    <t>Расходы на обеспечение деятельности (оказание услуг, выполнение работ) муниципальных учреждений</t>
  </si>
  <si>
    <t>Мероприятия по профилактике экстремизма и терроризма</t>
  </si>
  <si>
    <t>Обслуживание муниципального долга</t>
  </si>
  <si>
    <t>730</t>
  </si>
  <si>
    <t>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на праве оперативного управления</t>
  </si>
  <si>
    <t>Расходы на приобретение муниципальными учреждениями недвижимого и особо ценного движимого имущества</t>
  </si>
  <si>
    <t>Иные закупки товаров, работ и услуг для обеспечения государственных (муниципальных) нужд</t>
  </si>
  <si>
    <t>240</t>
  </si>
  <si>
    <t>Расходы на выплаты персоналу государственных (муниципальных) органов</t>
  </si>
  <si>
    <t>120</t>
  </si>
  <si>
    <t>Уплата налогов, сборови иных платежей</t>
  </si>
  <si>
    <t xml:space="preserve">Исполнение судебных актов </t>
  </si>
  <si>
    <t>830</t>
  </si>
  <si>
    <t xml:space="preserve">Бюджетные инвестиции </t>
  </si>
  <si>
    <t>410</t>
  </si>
  <si>
    <t>Публичные нормативные социальные выплаты гражданам</t>
  </si>
  <si>
    <t>310</t>
  </si>
  <si>
    <t>Социальные выплаты гражданам, кроме публичных нормативных социальных выплат</t>
  </si>
  <si>
    <t>320</t>
  </si>
  <si>
    <t xml:space="preserve">Субсидии бюджетным учреждениям </t>
  </si>
  <si>
    <t>610</t>
  </si>
  <si>
    <t>Расходы на выплаты персоналу казенных учреждений</t>
  </si>
  <si>
    <t>110</t>
  </si>
  <si>
    <t>850</t>
  </si>
  <si>
    <t>Жилищно- коммунальное хозяйство</t>
  </si>
  <si>
    <t>0500</t>
  </si>
  <si>
    <t>Жилищное хозяйство</t>
  </si>
  <si>
    <t>0501</t>
  </si>
  <si>
    <t>Другие вопросы в области культуры, кинематографии</t>
  </si>
  <si>
    <t>Коммунальное хозяйство</t>
  </si>
  <si>
    <t>0502</t>
  </si>
  <si>
    <t>Исполнения обязательств по уплате взносов за капитальный ремонт общего имущества в многоквартирных домах</t>
  </si>
  <si>
    <t>Расходы на обеспечение деятельности (оказание услуг, выполнение работ) муниципальных учреждений (Спортивный комплекс "Луч")</t>
  </si>
  <si>
    <t xml:space="preserve">Субсидии автономным учреждениям </t>
  </si>
  <si>
    <t>620</t>
  </si>
  <si>
    <t>00 0 00 00000</t>
  </si>
  <si>
    <t>99 0 00 00000</t>
  </si>
  <si>
    <t>18 0 00 00000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</si>
  <si>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</si>
  <si>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07 0 00 00000</t>
  </si>
  <si>
    <t>Подпрограмма "Снижение рисков и смягчение последствий чрезвычайных ситуаций природного и техногенного характера в Приморском крае"</t>
  </si>
  <si>
    <t>07 1 00 00000</t>
  </si>
  <si>
    <t>11 0 00 00000</t>
  </si>
  <si>
    <t>11 1 00 00000</t>
  </si>
  <si>
    <t>11 2 00 00000</t>
  </si>
  <si>
    <t>18 1 00 00000</t>
  </si>
  <si>
    <t>18 1 03 20170</t>
  </si>
  <si>
    <t>99 9 99 93040</t>
  </si>
  <si>
    <t>12 0 00 00000</t>
  </si>
  <si>
    <t>12 1 00 00000</t>
  </si>
  <si>
    <t>12 2 00 00000</t>
  </si>
  <si>
    <t>12 2 03 20190</t>
  </si>
  <si>
    <t>12 2 03 20200</t>
  </si>
  <si>
    <t>13 0 00 00000</t>
  </si>
  <si>
    <t>13 1 00 00000</t>
  </si>
  <si>
    <t>17 0 00 00000</t>
  </si>
  <si>
    <t>06 0 00 00000</t>
  </si>
  <si>
    <t>Другие вопросы в области жилищно-коммунального хозяйства</t>
  </si>
  <si>
    <t>Субвенции на регистрацию и учет граждан, имеющих право на получение жилищных субсидий в связис переселением из районов Крайнего Севера и приравненных к ним местностей</t>
  </si>
  <si>
    <t>0505</t>
  </si>
  <si>
    <t>Сельское хозяйство и рыболовство</t>
  </si>
  <si>
    <t>0405</t>
  </si>
  <si>
    <t>05 3 00 00000</t>
  </si>
  <si>
    <t>02 6 00 00000</t>
  </si>
  <si>
    <t>06 6 00 00000</t>
  </si>
  <si>
    <t>99 9 99 59300</t>
  </si>
  <si>
    <t>Благоустройство</t>
  </si>
  <si>
    <t>0503</t>
  </si>
  <si>
    <t>Национальная безопасность и правоохранительная деятельность</t>
  </si>
  <si>
    <t>0300</t>
  </si>
  <si>
    <t xml:space="preserve">00 0 00 00000 </t>
  </si>
  <si>
    <t>12 2 03 00000</t>
  </si>
  <si>
    <t>Исполнение судебных актов</t>
  </si>
  <si>
    <t>06 6 01 S2320</t>
  </si>
  <si>
    <t>06 3 01 L4970</t>
  </si>
  <si>
    <t>Премии и гранты</t>
  </si>
  <si>
    <t>350</t>
  </si>
  <si>
    <t xml:space="preserve">Софинансирование из местного бюджета мероприятий по обеспечению развития и укреплению материально-технической базы домов культуры в населенных пунктах с числом жителей до 50 тысяч человек </t>
  </si>
  <si>
    <t xml:space="preserve">05 3 01 L4670 </t>
  </si>
  <si>
    <t>Субсидии организациям на возмещение расходов в области ЖКХ</t>
  </si>
  <si>
    <t>06 6 02 60030</t>
  </si>
  <si>
    <t>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</si>
  <si>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Социтальные выплаты гражданам, кроме публичных нормативных социальных выплат</t>
  </si>
  <si>
    <t>99 9 99 93130</t>
  </si>
  <si>
    <t>02 6 Е1 00000</t>
  </si>
  <si>
    <t>Субсидии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оборудованием библиотек</t>
  </si>
  <si>
    <t>Массовый спорт</t>
  </si>
  <si>
    <t>1102</t>
  </si>
  <si>
    <t>Основное мероприятие "Выполнение обязательств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</si>
  <si>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</si>
  <si>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06 5 00 00000</t>
  </si>
  <si>
    <t>06 5 01 00000</t>
  </si>
  <si>
    <t>Основное мероприятие "Обеспечение граждан твердым топливом (дровами)"</t>
  </si>
  <si>
    <t>Субсидии бюджетам муниципальных образований Приморского края на обеспечение граждан твердым топливом (дровами)</t>
  </si>
  <si>
    <t>12 2 R1 00000</t>
  </si>
  <si>
    <t>Материальная поддержка студентов</t>
  </si>
  <si>
    <t>Софинансирование из местного бюджета субсидии бюджетам муниципальных образований Приморского края на обеспечение граждан твердым топливом (дровами)</t>
  </si>
  <si>
    <t>Софинансирование из местного бюджета субсидии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оборудованием библиотек</t>
  </si>
  <si>
    <t>05 3 01 S2540</t>
  </si>
  <si>
    <t>99 9 99 10010</t>
  </si>
  <si>
    <t>99 9 99 10020</t>
  </si>
  <si>
    <t>99 9 99 10030</t>
  </si>
  <si>
    <t>99 9 99 10050</t>
  </si>
  <si>
    <t>99 9 99 10060</t>
  </si>
  <si>
    <t>99 9 99 10070</t>
  </si>
  <si>
    <t>99 9 99 20240</t>
  </si>
  <si>
    <t>99 9 99 70590</t>
  </si>
  <si>
    <t>99 9 99 20220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</si>
  <si>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</si>
  <si>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02 2 01 70590</t>
  </si>
  <si>
    <t>02 2 01 70600</t>
  </si>
  <si>
    <t>02 2 01 93060</t>
  </si>
  <si>
    <t>02 1 01 70590</t>
  </si>
  <si>
    <t>02 1 01 70600</t>
  </si>
  <si>
    <t>02 1 01 93070</t>
  </si>
  <si>
    <t>Основное мероприятие "Реализация образовательных программ дошкольного образования"</t>
  </si>
  <si>
    <t>02 1 01 00000</t>
  </si>
  <si>
    <t>06 6 03 00000</t>
  </si>
  <si>
    <t>06 6 03 S2620</t>
  </si>
  <si>
    <t>Субвенции бюджетам муниципальных образований Приморского края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</si>
  <si>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0703</t>
  </si>
  <si>
    <t>13 1 01 00000</t>
  </si>
  <si>
    <t>02 2 01 53030</t>
  </si>
  <si>
    <t>13 1 01 S2280</t>
  </si>
  <si>
    <t>20 0 00 00000</t>
  </si>
  <si>
    <t>99 9 99 93180</t>
  </si>
  <si>
    <t>06 5 01 R0820</t>
  </si>
  <si>
    <t>02 6 Е1 93140</t>
  </si>
  <si>
    <t>Субсидии бюджетам муниципальных образований Приморского края на организацию физкультурно-спортивной работы по месту жительства</t>
  </si>
  <si>
    <t>02 3 01 70590</t>
  </si>
  <si>
    <t xml:space="preserve"> Субсидии некомерческим организациям (за исключением государственных (муниципальных) учреждений, государственных корпораций (компаний), публично - правовых компаний</t>
  </si>
  <si>
    <t>Реализация мероприятий по модернизации школьных систем образования</t>
  </si>
  <si>
    <t>Софинансирование из местного бюджета на реализацию мероприятий по модернизации школьных систем образования</t>
  </si>
  <si>
    <t>Субсидии бюджетам муниципальных образований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</si>
  <si>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Софинансирование из местного бюджета  по субсидиям на государственную поддержку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</si>
  <si>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</si>
  <si>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05 3 01 L5190</t>
  </si>
  <si>
    <t>Субсидии бюджетам муниципальных образований на обеспечение земельных участков, предоставленных на бесплатной основе гражданам, имеющим трех и более детей, инженерной инфраструктурой</t>
  </si>
  <si>
    <t>06 6 01 S2100</t>
  </si>
  <si>
    <t>Софинансирование из местного бюджета  на обеспечение земельных участков, предоставленных на бесплатной основе гражданам, имеющим трех и более детей, инженерной инфраструктурой</t>
  </si>
  <si>
    <t>Субсидии из краевого бюджета бюджетам муниципальных образований Приморского края реализацию мероприятий по обеспечению жильем молодых семей</t>
  </si>
  <si>
    <t>Софинансирование из местного бюджета на реализацию мероприятий по обеспечению жильем молодых семей</t>
  </si>
  <si>
    <t>Софинансирование из местного бюджета на организацию физкультурно-спортивной работы по месту жительства</t>
  </si>
  <si>
    <t>Субсидии бюджетам муниципальных образований Приморского края на организацию транспортного обслуживания населения в границах муниципальных образований Приморского края</t>
  </si>
  <si>
    <t>12 1 01 S2410</t>
  </si>
  <si>
    <t>Софинансирование из местного бюджета  на организацию транспортного обслуживания населения в границах муниципальных образований Приморского края</t>
  </si>
  <si>
    <t>Субсидии бюджетам муниципальных образований на мероприятия по озданию и развитию системы газоснабжения муниципальных образований</t>
  </si>
  <si>
    <t>Софинансирование из местного бюджета на мероприятия по озданию и развитию системы газоснабжения муниципальных образований</t>
  </si>
  <si>
    <t>Субсидии бюджетам муниципальных образований на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</si>
  <si>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Софинансирование из местного бюджета на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</si>
  <si>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Проведение мероприятий по восстановлению воинских захоронений</t>
  </si>
  <si>
    <t>Субсидии из краевого бюджета бюджетам муниципальных образований Приморского края на на реализацию федеральной целевой программы "Увековечение памяти погибших при защите Отечества на 2019 - 2024 годы"</t>
  </si>
  <si>
    <t>19 1 01 L2990</t>
  </si>
  <si>
    <t>19 1 01 00000</t>
  </si>
  <si>
    <t>Субсидии бюджетам муниципальных образований на мероприятия по поддержке муниципальных программ по благоустройству территорий муниципальных образований</t>
  </si>
  <si>
    <t>Софинансирование из местного бюджета на мероприятия по поддержке муниципальных программ по благоустройству территорий муниципальных образований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</si>
  <si>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 Приморского края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</si>
  <si>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</si>
  <si>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>Субвенции на обеспечения оздоровления и отдыха детей Приморского края (за исключением организации отдыха детей в каникулярное время)</t>
  </si>
  <si>
    <t>Субвенции бюджетам муниципальных образований Приморского края на обеспечение бесплатным питанием детей, обучающихся в муниципальных образовательных организациях Приморского края</t>
  </si>
  <si>
    <t>Субвенции бюджетам муниципальных образований на осуществление государственных полномочий органов опеки и попечительства в отношении несовершеннолетних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</si>
  <si>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</si>
  <si>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99 9 99 00000</t>
  </si>
  <si>
    <t>99 9 99 93100</t>
  </si>
  <si>
    <t>99 9 99 51180</t>
  </si>
  <si>
    <t>99 9 00 00000</t>
  </si>
  <si>
    <t>Субвенции                                                                                                        бюджетам муниципальных образований Приморского края на реализацию государственных полномочий по организации мероприятий при осуществлении деятельности по обращению с животными без владельцев</t>
  </si>
  <si>
    <t>Субвенции на реализацию государственногых полномочий в сфере транспортного обслуживания по муниципальным маршрутам в границах муниципальных образований</t>
  </si>
  <si>
    <t>Региональный проект "Региональная и местная дорожная сеть"</t>
  </si>
  <si>
    <t>Региональный проект "Современная школа"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</si>
  <si>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</si>
  <si>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Иные межбюджетные трансферты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</si>
  <si>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Компенсационные выплаты за найм жилого помещения</t>
  </si>
  <si>
    <t xml:space="preserve"> Софинансирование из местного бюджета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</si>
  <si>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02 1 02 S2020</t>
  </si>
  <si>
    <t>02 3 01 00000</t>
  </si>
  <si>
    <t>Расходы на обеспечение деятельности (оказание услуг, выполнение работ) муниципальных учреждений (ДЮСШ)</t>
  </si>
  <si>
    <t>Другие вопросы в области национальной экономики</t>
  </si>
  <si>
    <t>0412</t>
  </si>
  <si>
    <t>17 2 00 00000</t>
  </si>
  <si>
    <t>Основное мероприятие "Пропаганда и популяризация предпринимательской деятельности"</t>
  </si>
  <si>
    <t>17 2 03 00000</t>
  </si>
  <si>
    <t>Пропаганда и популяризация предпринимательской деятельности</t>
  </si>
  <si>
    <t>12 1 01 60010</t>
  </si>
  <si>
    <t>Субсидии юридическим лицам на возмещение недополученных доходов, возникающих в связи с регулированием органами исполнительной власти Приморского края тарифов на перевозки поссажиров и багажа автомобильным транспортом</t>
  </si>
  <si>
    <t>12 1 01 00000</t>
  </si>
  <si>
    <t>Перевоз невостребованных трупов в морг и к месту захоронения</t>
  </si>
  <si>
    <t>Содержанае общественнйх кладбищ Шкотовского муниципального округа</t>
  </si>
  <si>
    <t>99 9 99 20430</t>
  </si>
  <si>
    <t>99 9 99 20440</t>
  </si>
  <si>
    <t>Благоустройство Шкотовского муниципального округа</t>
  </si>
  <si>
    <t>Подпрограмма "Развитие системы дошкольного образования"</t>
  </si>
  <si>
    <t>Основное мероприятие "Развитие инфраструктуры организаций дошкольного образования"</t>
  </si>
  <si>
    <t>02 1 02 00000</t>
  </si>
  <si>
    <t>02 2 01 00000</t>
  </si>
  <si>
    <t>02 2 02 00000</t>
  </si>
  <si>
    <t>Основное мероприятие "Создание условий для получения качественного общего образования"</t>
  </si>
  <si>
    <t>Основное мероприятие "Реализация образовательных программ общего образования"</t>
  </si>
  <si>
    <t>02 2 02 93150</t>
  </si>
  <si>
    <t>02 2 02 R3040</t>
  </si>
  <si>
    <t>02 2 02 70620</t>
  </si>
  <si>
    <t>Субсидии бюджетным учреждениям на питание обучающихся, мобилизованных граждан</t>
  </si>
  <si>
    <t>Основное мероприятие "Развитие материально – технической базы общеобразовательных учреждений Шкотовского муниципального округа (капитальные ремонты, благоустройство территорий, оформление рекреационных пространств)"</t>
  </si>
  <si>
    <t>02 2 03 00000</t>
  </si>
  <si>
    <t>02 2 03 L7500</t>
  </si>
  <si>
    <t>Основное мероприятие региональный проект "Патриотическое воспитание граждан Российской Федерации</t>
  </si>
  <si>
    <t>Основное мероприятие "Реализация образовательных программ дополнительного образования"</t>
  </si>
  <si>
    <t>02 3 02 00000</t>
  </si>
  <si>
    <t>Основное мероприятие "Развитие системы отдыха, оздоровления и занятости детей и подростков на территории Шкотовского муниципального округа"</t>
  </si>
  <si>
    <t>02 3 02 20060</t>
  </si>
  <si>
    <t>Развитие системы отдыха, оздоровления и занятости детей и подростков на территории Шкотовского муниципального округа</t>
  </si>
  <si>
    <t>Подпрограмма "Совершенствование управления системой образования"</t>
  </si>
  <si>
    <t>02 5 01 00000</t>
  </si>
  <si>
    <t>Дополнительное образование детей</t>
  </si>
  <si>
    <t>02 5 02 00000</t>
  </si>
  <si>
    <t>Основное мероприятие "Развитие кадрового потенциала в образовательных организациях Шкотовского муниципального округа"</t>
  </si>
  <si>
    <t>Муниципальная программа "Социальная поддержка населения Шкотовского муниципального округа на 2023-2027 годы"</t>
  </si>
  <si>
    <t>03 2 00 00000</t>
  </si>
  <si>
    <t>03 2 01 00000</t>
  </si>
  <si>
    <t>Основное мероприятие "Меры социальной поддержки семей, имеющих детей"</t>
  </si>
  <si>
    <t>02 5 02 20330</t>
  </si>
  <si>
    <t>Муниципальная программа "Развитие культуры Шкотовского муниципального округа Приморского края на 2021-2027 годы"</t>
  </si>
  <si>
    <t>Подпрограмма "Организация досуга и обеспечение населения Шкотовского округа услугами организации культуры" (клубная система)</t>
  </si>
  <si>
    <t>05 1 01 00000</t>
  </si>
  <si>
    <t>05 2 01 00000</t>
  </si>
  <si>
    <t>05 3 01 00000</t>
  </si>
  <si>
    <t>Подпрограмма "Поддержка учреждений культуры в Шкотовском муниципальном округе"</t>
  </si>
  <si>
    <t>Основное мероприятие "Обеспечение поддержки учреждений культуры в Шкотовском муниципальном округе"</t>
  </si>
  <si>
    <t xml:space="preserve">Подпрограмма "Осуществление руководства и управления в сфере установленных функций учреждения культуры Шкотовского округа " (финансово-методический центр) </t>
  </si>
  <si>
    <t>05 4 01 70590</t>
  </si>
  <si>
    <t>05 4 01 70610</t>
  </si>
  <si>
    <t>19 1 00 00000</t>
  </si>
  <si>
    <t>19 0 00 00000</t>
  </si>
  <si>
    <t>Основное мероприятие "Мероприятия историко-патриотической, патриотической, культурно-патриотической, спортивно-патриотической направленности"</t>
  </si>
  <si>
    <t>Муниципальная программа ""Патриотическое воспитание граждан, реализация государственной национальной политики и развитие институтов гражданского общества на территории Приморского края" на 2020-2027 годы"</t>
  </si>
  <si>
    <t>Мероприятия непрограммных направлений деятельности органов государственной власти</t>
  </si>
  <si>
    <t>Непрограммные мероприятия</t>
  </si>
  <si>
    <t>Непрограммные направления деятельности органов местного самоуправления Шкотовского муниципального округа</t>
  </si>
  <si>
    <t>Резервный фонд администрации Шкотовского муниципального окргуа</t>
  </si>
  <si>
    <t>0105</t>
  </si>
  <si>
    <t>99 9 99 51200</t>
  </si>
  <si>
    <t>99 9 99 93160</t>
  </si>
  <si>
    <t>07 1 01 20040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</si>
  <si>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Шкотовского муниципального округа"</t>
  </si>
  <si>
    <t>Муниципальная программа "Развитие транспортного комплекса Шкотовского муниципального округа на 2022-2027 годы"</t>
  </si>
  <si>
    <t xml:space="preserve">Подпрограмма  "Развитие транспортного комплекса Шкотовского муниципального округа на 2022-2027 годы" </t>
  </si>
  <si>
    <t>Основное мероприятие "Организация транспортного обслуживания населения между поселениями в границах Шкотовского муниципального округа"</t>
  </si>
  <si>
    <t>Подпрограмма "Развитие дорожной отрасли в Шкотовском муниципальном округа на 2022-2027 годы"</t>
  </si>
  <si>
    <t>Основное мероприятие "Поддержка дорожного хозяйства Шкотовского муниципального округа"</t>
  </si>
  <si>
    <t>Ремонт автомобильных дорог муниципального значения на территории Шкотовского муниципального округа</t>
  </si>
  <si>
    <t>Содержание автомобильных дорог муниципального значения на территории Шкотовского муниципального округа</t>
  </si>
  <si>
    <t>Муниципальная программа "Развитие и поддержка малого и среднего предпринимательства в Шкотовском муниципальном округе на 2021-2027 годы</t>
  </si>
  <si>
    <t>Подпрограмма "Развитие и поддержка малого и среднего предпринимательства в Шкотовском муниципальномокруге на 2021-2027 годы"</t>
  </si>
  <si>
    <t>Муниципальная программа "Формирование здорового образа жизни и профилактика заболеваний в Шкотовском муниципальном округе на 2021-2027 годы"</t>
  </si>
  <si>
    <t>Подпрограмма  "Укрепление общественного здоровья в Шкотовском муниципальном округе на 2021-2027 годы"</t>
  </si>
  <si>
    <t>Совершенствование медико-гигиенического воспитания по профилактике заболеваний</t>
  </si>
  <si>
    <t>03 4 00 00000</t>
  </si>
  <si>
    <t>Подпрограмма "Социальная поддержка отдельных граждан в Шкотовском муниципальном округе"</t>
  </si>
  <si>
    <t>03 4 01 10090</t>
  </si>
  <si>
    <t>03 4 01 00000</t>
  </si>
  <si>
    <t>Основное мероприятие "Выплата пенсий и доплат к пенсии"</t>
  </si>
  <si>
    <t>Основное мероприятие "Меры социальной поддержки детей-сирот и детей, оставшихся без попечения родителей"</t>
  </si>
  <si>
    <t>03 2 02 00000</t>
  </si>
  <si>
    <t>03 2 02 93090</t>
  </si>
  <si>
    <t>Муниципальная программа "Обеспечение доступным жильем и качественными услугами жилищно-коммунального хозяйства населения Шкотовского округа на 2020-2027 годы"</t>
  </si>
  <si>
    <t>Подпрограмма "Обеспечение жильём молодых семей Шкотовского муниципального округа"</t>
  </si>
  <si>
    <t>06 3 01 00000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</si>
  <si>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</si>
  <si>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03 3 00 00000</t>
  </si>
  <si>
    <t>Основное мероприятие "Мероприятия по адаптации приоритетных объектов социальной, транспортной, инженерной структуры для обеспечения доступности получения услуг инвалидами и другими маломобильными группами населения"</t>
  </si>
  <si>
    <t xml:space="preserve">Муниципальная программа "Обеспечение доступным жильём и качественными услугами жилищно-коммунального хозяйства населения сельских поселений Шкотовского муниципального округа на 2020-2027 годы" </t>
  </si>
  <si>
    <t>Муниципальная программа "Развитие физической культуры и спорта в Шкотовском муниципальном округе  на 2020-2027 годы"</t>
  </si>
  <si>
    <t>Подпрограмма "Развитие массовой физической культуры и спорта в Шкотовском муниципальном округе"</t>
  </si>
  <si>
    <t>09 1 01 S2190</t>
  </si>
  <si>
    <t>09 1 01 20130</t>
  </si>
  <si>
    <t>09 1 01 20120</t>
  </si>
  <si>
    <t>09 1 01 00000</t>
  </si>
  <si>
    <t>09 1 01 70590</t>
  </si>
  <si>
    <t>Муниципальная программа Шкотовского муниципального округа "Информационное общество" на 2020-2027 годы</t>
  </si>
  <si>
    <t>Подпрограмма "Информационная среда"</t>
  </si>
  <si>
    <t>11 2 01 00000</t>
  </si>
  <si>
    <t>Основное мероприятие "Информирование населения  Шкотовского муниципального округа</t>
  </si>
  <si>
    <t>Расходы на обеспечение деятельности (оказание услуг, выполнение работ) муниципальных учреждений (МБУ Редакция СМИ)</t>
  </si>
  <si>
    <t>11 2 01 70590</t>
  </si>
  <si>
    <t>1301</t>
  </si>
  <si>
    <t>99 9 99 10080</t>
  </si>
  <si>
    <t>0310</t>
  </si>
  <si>
    <t>Организация выполнения и осуществления мер пожарной безопасности</t>
  </si>
  <si>
    <t>Защита населения и территории от чрезвычайных ситуаций природного и техногенного характера, пожарная безопасность</t>
  </si>
  <si>
    <t>Подпрограмма "Развитие цифровой экономики в Шкотовском муниципальном округе"</t>
  </si>
  <si>
    <t>Основное мероприятие "Реализация мероприятий по информационной безопасности"</t>
  </si>
  <si>
    <t>11 1 01 00000</t>
  </si>
  <si>
    <t>Реализация мероприятий по информационной безопасности</t>
  </si>
  <si>
    <t>11 1 01 20180</t>
  </si>
  <si>
    <t>Размещение социальной рекламы на объектах наружной рекламы, расположенных на территории Шкотовского муниципального округа</t>
  </si>
  <si>
    <t>11 2 01 20150</t>
  </si>
  <si>
    <t>11 2 01 20070</t>
  </si>
  <si>
    <t>Информирование населения о реализации муниципальных программ Шкотовского муниципального округа, социально значимых проектов и мероприятий на официальном сайте администрации Шкотовского муниципального округа</t>
  </si>
  <si>
    <t>Муниципальная программа Шкотовского муниципального округа "Безопасный город" на 2024-2027 годы</t>
  </si>
  <si>
    <t>Подпрограмма "Комплексные меры профилактики правонарушений, экстремизма и терроризма, незаконного потребления наркотических средств и психотропных веществ в Шкотовском муниципальном округе"</t>
  </si>
  <si>
    <t>Основное мероприятие "Профилактиа незаконного потребления наркотических средств и психотропных веществ в Шкотовском муниципальном округе</t>
  </si>
  <si>
    <t>18 1 01 20160</t>
  </si>
  <si>
    <t>18 1 01 00000</t>
  </si>
  <si>
    <t>Проведение мероприятий по профилактике и  незаконного потребления наркотических средств и психотропных веществ в Шкотовском муниципальном округе</t>
  </si>
  <si>
    <t>18 1 02 00000</t>
  </si>
  <si>
    <t xml:space="preserve">Основное мероприятие "Формирование нетерпимого отношения к проявлениям терроризма и экстремизма,   повышение уровня антитеррористической защищенности объектов </t>
  </si>
  <si>
    <t>02 5 02 20340</t>
  </si>
  <si>
    <t xml:space="preserve">Материальная поддержка педагогов, выпускники которых получили от 80-100 баллов по результатам сдачи ЕГЭ </t>
  </si>
  <si>
    <t>99 9 99 93120</t>
  </si>
  <si>
    <t>02 3 03 20050</t>
  </si>
  <si>
    <t>02 3 03 00000</t>
  </si>
  <si>
    <t>Подпрограмма "Создание условий для обеспечения качественными услугами жилищно-коммунального хозяйства Шкотовского муниципального округа"</t>
  </si>
  <si>
    <t>Основное мероприятие "Поддержка организаций коммунального хозяйства"</t>
  </si>
  <si>
    <t>06 6 02 00000</t>
  </si>
  <si>
    <t>06 6 02 60050</t>
  </si>
  <si>
    <t>06 6 02 60040</t>
  </si>
  <si>
    <t>Субсидии на возмещение затрат на оплату жилищных услуг и услуг отопления жилых помещений семей военослужащих в зоне СВО</t>
  </si>
  <si>
    <t>Подпрограмма "Подпрограмма "Обеспечение деятельности органов исполнительной власти""</t>
  </si>
  <si>
    <t>06 9 00 00000</t>
  </si>
  <si>
    <t>06 9 01 00000</t>
  </si>
  <si>
    <t>06 9 01 20320</t>
  </si>
  <si>
    <t>Основное мероприятие "Капитальный ремонт многоквартирных домов Шкотовского муниципального округа"</t>
  </si>
  <si>
    <t>Бюджетные инвестиции в объекты капитального строительства государственной (муниципальной) собственности</t>
  </si>
  <si>
    <t>Основное мероприятие "Поддержка муниципальных программ в сфере водоснабжения, водоотведения и водоочистки"</t>
  </si>
  <si>
    <t>06 6 01 00000</t>
  </si>
  <si>
    <t>Капитальный ремонт объектов централизованного водоотведения с. Анисимовка</t>
  </si>
  <si>
    <t>06 6 01 20350</t>
  </si>
  <si>
    <t>Софинансирование из местного бюджета мероприятий по проектированию и (или) строительству, реконструкции, модернизации и капитальному ремонту объектов водопроводно-канализационного хозяйства (Строительство уличного водовода с колонками в п. Подъяпольское)</t>
  </si>
  <si>
    <t>06 6 02 60060</t>
  </si>
  <si>
    <t>06 6 04 00000</t>
  </si>
  <si>
    <t>Основное мероприятие "Обустройство и содержание контейнерных площадок временного размещения ТКО на территории сельских поселений"</t>
  </si>
  <si>
    <t>Меропрятия по обустройству и содержанию контейнерных площадок временного размещения ТКО</t>
  </si>
  <si>
    <t>06 6 04 20420</t>
  </si>
  <si>
    <t>Содержание и обслуживание казны Шкотовского муниципального округа</t>
  </si>
  <si>
    <t>Содержанае и обслуживание казны Шкотовского муниципального округа</t>
  </si>
  <si>
    <t>99 9 99 20260</t>
  </si>
  <si>
    <t>20 1 00 00000</t>
  </si>
  <si>
    <t>20 1 02 00000</t>
  </si>
  <si>
    <t>20 1 02 S2610</t>
  </si>
  <si>
    <t>Муниципальная программа "Энергоэффективность, развитие газоснабжения и энергетики в Шкотовском муниципальном округе на 2020-2027 годы"</t>
  </si>
  <si>
    <t>Подпрограмма "Создание и развитие системы газоснабжения Шкотовского муниципального округа на 2020-2027 годы"</t>
  </si>
  <si>
    <t>Подпрограмма "Развитие сферы ритуальных услуг на территории Шкотовского муниципального округа"</t>
  </si>
  <si>
    <t>Основное мероприятие "Развитие сферы ритуальных услуг на территории Шкотовского муниципального округа"</t>
  </si>
  <si>
    <t>13 2 00 00000</t>
  </si>
  <si>
    <t>13 2 01 00000</t>
  </si>
  <si>
    <t>Софинансирование из местного бюджета на проектирование, строительство, капитальный ремонт и ремонт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и гражданам, имеющим двух детей, а также молодым семьям</t>
  </si>
  <si>
    <t>12 2 03 S2380</t>
  </si>
  <si>
    <t>Софинансирование из местного бюджета на мероприятия по обеспечению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дошкольных образовательных организаций</t>
  </si>
  <si>
    <t>02 2 07 00000</t>
  </si>
  <si>
    <t>Софинансирование из местного бюджета на мероприятия по обеспечению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общеобразовательных организаций)</t>
  </si>
  <si>
    <t>02 2 07 L5764</t>
  </si>
  <si>
    <t>02 6 EВ 00000</t>
  </si>
  <si>
    <t>02 6 EВ 51790</t>
  </si>
  <si>
    <t>02 1 03 00000</t>
  </si>
  <si>
    <t>02 1 03 L5764</t>
  </si>
  <si>
    <t>13 2 01 S2170</t>
  </si>
  <si>
    <t>Глава Шкотовского муниципального округа</t>
  </si>
  <si>
    <t>Субвенции на осуществление полномочий Российской Федерации по государственной регистрации актов гражданского состояния за счет средств краевого бюджета</t>
  </si>
  <si>
    <t>Основное мероприятие "Газоснабжение и газификация Шкотовского муниципального округа"</t>
  </si>
  <si>
    <t>Основное мероприятие "Обеспечение жильём молодых семей Шкотовского муниципального округа"</t>
  </si>
  <si>
    <t xml:space="preserve">Подпрограмма "Организация обслуживания населения Шкотовского округа, комплектование и обеспечение сохранности библиотечных фондов библиотек поселений Шкотовского округа" (централизованная библиотечная система) </t>
  </si>
  <si>
    <t>Основное мероприятие "Обеспечение деятельности Муниципального казенного учреждения "Управление образованием"  Шкотовского муниципального округа"</t>
  </si>
  <si>
    <t>Развитие кадрового потенциала в образовательных организациях Шкотовского муниципального округа</t>
  </si>
  <si>
    <t>Председатель Думы Шкотовского округа</t>
  </si>
  <si>
    <t>Депутаты Думы Шкотовского округа</t>
  </si>
  <si>
    <t>Представительские и иные прочие расходы в органах местного самоуправления Шкотовского муниципального округа</t>
  </si>
  <si>
    <t>03 3 01 20090</t>
  </si>
  <si>
    <t>03 2 01 93050</t>
  </si>
  <si>
    <t>03 3 01 00000</t>
  </si>
  <si>
    <t xml:space="preserve">Обеспечение беспрепятственного доступа инвалидов к объектам социальной инфраструктуры и информации </t>
  </si>
  <si>
    <t>Приспособление жилых помещений, в которых проживают инвалиды, и общего имущества многоквартирных домов к беспрепятственному доступу инвалидов</t>
  </si>
  <si>
    <t>03 3 01 20080</t>
  </si>
  <si>
    <t>05 4 01 00000</t>
  </si>
  <si>
    <t>Основное мероприятие "Обеспечение деятельности Муниципального казенного учреждения "Культурно-информационный методический центр"  Шкотовского муниципального округа"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</si>
  <si>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</si>
  <si>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19 1 01 20270</t>
  </si>
  <si>
    <t>Софинансирование из местного бюджета края на на реализацию федеральной целевой программы "Увековечение памяти погибших при защите Отечества на 2019 - 2024 годы"</t>
  </si>
  <si>
    <t>Основное мероприятие "Облицовка фасада МБДОУ № 47 "Рябинушка пос. Штыково по адресу ул. Гидроузла 6"  проекта "Комплексное развитие поселка Штыково Шкотовского муниципального округа Приморского края "</t>
  </si>
  <si>
    <t>Реализация национального проекта "Образование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</si>
  <si>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по государственной регистрации актов гражданского состояния</t>
  </si>
  <si>
    <t>Муниципальная программа "Формирование современной городской среды Шкотовского муниципального округа" на 2024-2027 гг</t>
  </si>
  <si>
    <t>"Формирование современной городской среды Шкотовского муниципального округа" на 2024-2027 гг.</t>
  </si>
  <si>
    <t>Основное мероприятие " Мероприятия по благоустройству территорий, детских и спортивных площадок" Шкотовского муниципального округа"</t>
  </si>
  <si>
    <t>Муниципальная программа "Развитие образования Шкотовского муниципального округа" на 2024 – 2027 годы</t>
  </si>
  <si>
    <t>Подпрограмма "Развитие системы воспитания, дополнительного образования, отдыха, оздоровления и занятости детей и подростков Шкотовского муниципального округа"</t>
  </si>
  <si>
    <t>Основное мероприятие "Реализация мероприятий, направленных на привлечение детей и молодежи к участию в районных и краевых массовых  мероприятиях и повышение качества жизни детей"</t>
  </si>
  <si>
    <t xml:space="preserve">Подпрограмма "Патриотическое воспитание жителей Шкотовского муниципального округа Приморского края" 
</t>
  </si>
  <si>
    <t>Подпрограмма "Реализация образовательных программ общего образования"</t>
  </si>
  <si>
    <t>Основное мероприятие "Капитальный ремонт спортивной площадки МБУ СОШ № 15 в пос. Штыково"  проекта "Комплексное развитие поселка Штыково   Шкотовского муниципального округа Приморского края"</t>
  </si>
  <si>
    <t>02 5 02 80010</t>
  </si>
  <si>
    <t>07 1 01 20360</t>
  </si>
  <si>
    <t>99 9 99 10100</t>
  </si>
  <si>
    <t>17 2 03 20370</t>
  </si>
  <si>
    <t>Субсидии на возмещение затрат на оплату услуг по обеспечению твердым топливом семей военнослужащих в зоне СВО</t>
  </si>
  <si>
    <t>Компенсационные выплаты на возмещение затрат многодетных семей на обеспечение земельных участков инженерной инфроструктурой ВКХ</t>
  </si>
  <si>
    <t>0406</t>
  </si>
  <si>
    <t>07 1 01 20380</t>
  </si>
  <si>
    <t>Водное хозяйство</t>
  </si>
  <si>
    <t>Мероприятия по локализации и ликвидации различных очагов повышенной опасности на участках водных объектов в связи с нарушением пропускной способности русел рек</t>
  </si>
  <si>
    <t>03 3 02 00000</t>
  </si>
  <si>
    <t>Основное мероприятие "Организация культурных и спортивных мероприятий, с участием людей с ограниченными возможностями"</t>
  </si>
  <si>
    <t>03 3 02 20020</t>
  </si>
  <si>
    <t>Организация культурных и спортивных мероприятий, с участием людей с ограниченными возможностями</t>
  </si>
  <si>
    <t>99 9 99 93010</t>
  </si>
  <si>
    <t>99 9 99 93030</t>
  </si>
  <si>
    <t>Субсидии бюджетам на подготовку проектов межевания земельных участков и на проведение кадастровых работ</t>
  </si>
  <si>
    <t>20 1 05 00000</t>
  </si>
  <si>
    <t>Основное мероприятие "Реализация проектов инициативного бюджетирования по направлению "Твой проект""</t>
  </si>
  <si>
    <t>Реализация проектов инициативного бюджетирования по направлению "Твой проект" ("Благоустройство территории Центропарка" с. Центральное)</t>
  </si>
  <si>
    <t>20 1 05 S2361</t>
  </si>
  <si>
    <t>Софинансирование из местного бюджета на реализацию проектов инициативного бюджетирования по направлению "Твой проект" ("Благоустройство территории Центропарка" с. Центральное)</t>
  </si>
  <si>
    <t>20 1 05 S2362</t>
  </si>
  <si>
    <t>Реализация проектов инициативного бюджетирования по направлению "Твой проект" (Школьный двор - мир моего детства МБОУ "СОШ № 26 пос. Новонежино")</t>
  </si>
  <si>
    <t>Софинансирование из местного бюджета на реализацию проектов инициативного бюджетирования по направлению "Твой проект" (Школьный двор - мир моего детства МБОУ "СОШ № 26 пос. Новонежино")</t>
  </si>
  <si>
    <t>06 5 01 93210</t>
  </si>
  <si>
    <t>05 3 А1 00000</t>
  </si>
  <si>
    <t>05 3 A1 55130</t>
  </si>
  <si>
    <t>Региональный проект "Культурная среда"</t>
  </si>
  <si>
    <t>Субсидии из краевого бюджета на развитие сети учреждений культурно-досугового типа</t>
  </si>
  <si>
    <t>Софинансирование из местного бюджета на развитие сети учреждений культурно-досугового типа</t>
  </si>
  <si>
    <t>Реализация проектов инициативного бюджетирования по направлению "Молодежный бюджет" ("Здравствуй, школа!" МБОУ "СОШ № 15. пос. Штыково")</t>
  </si>
  <si>
    <t>02 2 03 S2751</t>
  </si>
  <si>
    <t>02 2 03 S2752</t>
  </si>
  <si>
    <t>Реализация проектов инициативного бюджетирования по направлению "Молодежный бюджет" ("Благоустройство Школьного двора МБОУ "СОШ № 25 с. Романовка")</t>
  </si>
  <si>
    <t>Софинансирование из местного бюджета на реализацию проектов инициативного бюджетирования по направлению "Молодежный бюджет" ("Благоустройство Школьного двора МБОУ "СОШ № 25 с. Романовка")</t>
  </si>
  <si>
    <t>Софинансирование из местного бюджета на реализацию проектов инициативного бюджетирования по направлению "Молодежный бюджет" ("Здравствуй, школа!" МБОУ "СОШ № 15. пос. Штыково")</t>
  </si>
  <si>
    <t>14 0 00 00000</t>
  </si>
  <si>
    <t>Муниципальная программа "Комплексные кадастровые работы на территории Шкотовского муниципального округа Приморского края на период 2024-2027 годы"</t>
  </si>
  <si>
    <t>14 1 01 L5990</t>
  </si>
  <si>
    <t>Подпрограмма "Постановка на кадастровый учет земельных участков сельскохозяйственного назначения"</t>
  </si>
  <si>
    <t>Основное мероприятие  "Подготовка проектов межевания земельных участков и на проведение кадастровых работ"</t>
  </si>
  <si>
    <t>14 1 00 00000</t>
  </si>
  <si>
    <t>14 1 01 00000</t>
  </si>
  <si>
    <t>Иные выплаты населению</t>
  </si>
  <si>
    <t>12 2 R1 S2440</t>
  </si>
  <si>
    <t>Финансовое обеспечение дорожной деятельности на автомобильных дорогах местного значения на территории Приморского края</t>
  </si>
  <si>
    <t>Софинансирование с местного бюджета на финансовое обеспечение дорожной деятельности на автомобильных дорогах местного значения на территории Приморского края</t>
  </si>
  <si>
    <t>Субсидии бюджетам муниципальных округов на обеспечение комплексного развития сельских территорий (Обеспечение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дошкольных образовательных организаций)</t>
  </si>
  <si>
    <t>Субсидии бюджетам муниципальных округов на обеспечение комплексного развития сельских территорий (Обеспечение комплексного развития сельских территорий (строительство и реконструкция (модернизация), капитальный ремонт объектов муниципальных общеобразовательных организаций, приобретение оборудования и транспортных средств)</t>
  </si>
  <si>
    <r>
  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 </t>
    </r>
    <r>
      <rPr>
        <b/>
        <sz val="12"/>
        <rFont val="Times New Roman"/>
        <family val="1"/>
        <charset val="204"/>
      </rPr>
      <t>(финансовое обеспечение государсчтвенных полномочий по обеспечению жилыми помещениями детей сирот)</t>
    </r>
  </si>
  <si>
    <t>99 9 99 94030</t>
  </si>
  <si>
    <t>Обеспечение мероприятий на реализацию проектов, инициируемых жителями поселения в сфере благоустройства территории за счет средств краевого бюджета (ТОС)</t>
  </si>
  <si>
    <t>09 1 P5 51390</t>
  </si>
  <si>
    <t>09 1 P5 00000</t>
  </si>
  <si>
    <t>Основное мероприятие Региональный проект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 (Спорт - норма жизни)""</t>
  </si>
  <si>
    <t>Основное мероприятие "Развитие массовой физической культуры и спорта в Шкотовском муниципальном округе"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</si>
  <si>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спортом. Строительство объекта: «Стадион на 300 мест а пгт. Шкотово Шкотовского округа Приморского края»</t>
  </si>
  <si>
    <t>2 2 01 50050</t>
  </si>
  <si>
    <t>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</si>
  <si>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21 1 01 20310</t>
  </si>
  <si>
    <t>21 1 00 00000</t>
  </si>
  <si>
    <t>21 1 01 00000</t>
  </si>
  <si>
    <t>Муниципальная пограмма "Противодействие коррупции в Шкотовском муниципальном округе на 2022-2025 годы"</t>
  </si>
  <si>
    <t>Подпрограмма "Противодействие коррупции в Шкотовском муниципальном округе на 2022-2025 годы"</t>
  </si>
  <si>
    <t>Обеспечение защиты прав и законных интересов граждан, общества и государства от коррупции, устранение причин и условий, порождающих коррупцию в Шкотовском муниципальном округе</t>
  </si>
  <si>
    <t>Основное мероприятие "Обеспечение защиты прав и законных интересов граждан, общества и государства от коррупции, устранение причин и условий, порождающих коррупцию в Шкотовском муниципальном округе"</t>
  </si>
  <si>
    <t>360</t>
  </si>
  <si>
    <t>02 2 01 50050</t>
  </si>
  <si>
    <t>21 0 00 00000</t>
  </si>
  <si>
    <t>% исполнения от первоначального плана</t>
  </si>
  <si>
    <t>% исполнения от плана с учетом внесенных изменений</t>
  </si>
  <si>
    <t>Пояснения от плана с учетом внесенных изменений (отклонения 5%)</t>
  </si>
  <si>
    <t>Первоначальный бюджет на 2024 год (№ 24-МПА от 19.12.2023)</t>
  </si>
  <si>
    <t>В связи с внесением изменений в бюджет Приморского края № 495-КЗ от 22.12.2023 г. на 2024-2026 годы</t>
  </si>
  <si>
    <t>Перераспределение Резервного фонда Администрации Шкотовского муниципального округа согласно распоряжений</t>
  </si>
  <si>
    <t>Исполнено на 01.01.2024 год</t>
  </si>
  <si>
    <t>8=6-7</t>
  </si>
  <si>
    <t>9=7/5*100</t>
  </si>
  <si>
    <t>11=7/6*100</t>
  </si>
  <si>
    <t>Пояснения от первоначального плана (отклонения 5%)</t>
  </si>
  <si>
    <t>Судебная система</t>
  </si>
  <si>
    <t>(в рублях)</t>
  </si>
  <si>
    <t>=</t>
  </si>
  <si>
    <t>Назначено с учетом внесенных изменений на 2024 год (декабрь 2024)Решение №37-МПА от 24.12.2024</t>
  </si>
  <si>
    <t>Шкотовского муниципального округа</t>
  </si>
  <si>
    <t>Отклонения от планас учетом внесенных изменений (+,-)</t>
  </si>
  <si>
    <t>Приложение № 3</t>
  </si>
  <si>
    <t xml:space="preserve">Отчет об исполнении расходной части бюджета Шкотовского муниципального округа на 01 января 2025 года 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</t>
  </si>
  <si>
    <t>от 24.06.2025 г. № 07-МПА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</si>
</sst>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0.00000"/>
  </numFmts>
  <fonts count="13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color indexed="8"/>
      <name val="Arial Cy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8" fillId="0" borderId="1">
      <alignment vertical="top" wrapText="1"/>
    </xf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5">
    <xf numFmtId="0" fontId="0" fillId="0" borderId="0" xfId="0"/>
    <xf numFmtId="0" fontId="3" fillId="2" borderId="0" xfId="0" applyFont="1" applyFill="1"/>
    <xf numFmtId="0" fontId="4" fillId="2" borderId="0" xfId="0" applyFont="1" applyFill="1"/>
    <xf numFmtId="2" fontId="3" fillId="2" borderId="0" xfId="0" applyNumberFormat="1" applyFont="1" applyFill="1" applyAlignment="1">
      <alignment vertical="top"/>
    </xf>
    <xf numFmtId="0" fontId="0" fillId="2" borderId="0" xfId="0" applyFont="1" applyFill="1"/>
    <xf numFmtId="2" fontId="0" fillId="2" borderId="0" xfId="0" applyNumberFormat="1" applyFont="1" applyFill="1" applyAlignment="1">
      <alignment vertical="top"/>
    </xf>
    <xf numFmtId="2" fontId="9" fillId="2" borderId="0" xfId="0" applyNumberFormat="1" applyFont="1" applyFill="1" applyAlignment="1">
      <alignment horizontal="center" vertical="center" wrapText="1"/>
    </xf>
    <xf numFmtId="0" fontId="2" fillId="2" borderId="0" xfId="0" applyFont="1" applyFill="1"/>
    <xf numFmtId="0" fontId="5" fillId="2" borderId="14" xfId="0" applyFont="1" applyFill="1" applyBorder="1"/>
    <xf numFmtId="0" fontId="2" fillId="2" borderId="14" xfId="0" applyFont="1" applyFill="1" applyBorder="1"/>
    <xf numFmtId="0" fontId="3" fillId="2" borderId="14" xfId="0" applyFont="1" applyFill="1" applyBorder="1"/>
    <xf numFmtId="4" fontId="2" fillId="2" borderId="14" xfId="0" applyNumberFormat="1" applyFont="1" applyFill="1" applyBorder="1"/>
    <xf numFmtId="0" fontId="2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shrinkToFit="1"/>
    </xf>
    <xf numFmtId="4" fontId="6" fillId="2" borderId="2" xfId="0" applyNumberFormat="1" applyFont="1" applyFill="1" applyBorder="1" applyAlignment="1">
      <alignment horizontal="center" vertical="center"/>
    </xf>
    <xf numFmtId="4" fontId="6" fillId="2" borderId="11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11" xfId="0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2" borderId="11" xfId="3" applyNumberFormat="1" applyFont="1" applyFill="1" applyBorder="1" applyAlignment="1">
      <alignment horizontal="center" vertical="center"/>
    </xf>
    <xf numFmtId="4" fontId="5" fillId="2" borderId="8" xfId="3" applyNumberFormat="1" applyFont="1" applyFill="1" applyBorder="1" applyAlignment="1">
      <alignment horizontal="center" vertical="center"/>
    </xf>
    <xf numFmtId="4" fontId="5" fillId="2" borderId="12" xfId="3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 applyProtection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/>
    </xf>
    <xf numFmtId="4" fontId="5" fillId="2" borderId="12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 applyProtection="1">
      <alignment horizontal="center" vertical="top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4" fontId="2" fillId="2" borderId="8" xfId="0" applyNumberFormat="1" applyFont="1" applyFill="1" applyBorder="1" applyAlignment="1">
      <alignment horizontal="center" vertical="center"/>
    </xf>
    <xf numFmtId="4" fontId="2" fillId="2" borderId="12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11" fontId="2" fillId="2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 shrinkToFit="1"/>
    </xf>
    <xf numFmtId="49" fontId="5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/>
    <xf numFmtId="44" fontId="2" fillId="2" borderId="2" xfId="4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2" fontId="11" fillId="2" borderId="0" xfId="0" applyNumberFormat="1" applyFont="1" applyFill="1" applyAlignment="1">
      <alignment horizontal="center" vertical="center" wrapText="1"/>
    </xf>
    <xf numFmtId="0" fontId="12" fillId="2" borderId="0" xfId="0" applyFont="1" applyFill="1"/>
    <xf numFmtId="0" fontId="10" fillId="2" borderId="0" xfId="0" applyFont="1" applyFill="1" applyAlignment="1">
      <alignment horizontal="right"/>
    </xf>
  </cellXfs>
  <cellStyles count="5">
    <cellStyle name="xl33" xfId="1"/>
    <cellStyle name="Денежный" xfId="4" builtinId="4"/>
    <cellStyle name="Обычный" xfId="0" builtinId="0"/>
    <cellStyle name="Обычный_Приложение 6, 7 раздел подраздел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72"/>
  <sheetViews>
    <sheetView showGridLines="0" tabSelected="1" view="pageBreakPreview" topLeftCell="E1" zoomScale="102" zoomScaleSheetLayoutView="102" workbookViewId="0">
      <selection activeCell="I4" sqref="I4:L4"/>
    </sheetView>
  </sheetViews>
  <sheetFormatPr defaultColWidth="8.88671875" defaultRowHeight="13.2" outlineLevelRow="5"/>
  <cols>
    <col min="1" max="1" width="53.44140625" style="4" customWidth="1"/>
    <col min="2" max="2" width="11.6640625" style="4" customWidth="1"/>
    <col min="3" max="3" width="15.88671875" style="4" customWidth="1"/>
    <col min="4" max="4" width="9.33203125" style="4" customWidth="1"/>
    <col min="5" max="5" width="20.5546875" style="4" customWidth="1"/>
    <col min="6" max="6" width="19.44140625" style="5" customWidth="1"/>
    <col min="7" max="7" width="19.33203125" style="4" customWidth="1"/>
    <col min="8" max="9" width="16.6640625" style="4" bestFit="1" customWidth="1"/>
    <col min="10" max="10" width="18.33203125" style="4" customWidth="1"/>
    <col min="11" max="11" width="16.6640625" style="4" bestFit="1" customWidth="1"/>
    <col min="12" max="12" width="20.109375" style="4" customWidth="1"/>
    <col min="13" max="13" width="16" style="4" bestFit="1" customWidth="1"/>
    <col min="14" max="14" width="12.6640625" style="4" bestFit="1" customWidth="1"/>
    <col min="15" max="16384" width="8.88671875" style="4"/>
  </cols>
  <sheetData>
    <row r="1" spans="1:12" ht="28.2" customHeight="1">
      <c r="I1" s="114" t="s">
        <v>588</v>
      </c>
      <c r="J1" s="114"/>
      <c r="K1" s="114"/>
      <c r="L1" s="114"/>
    </row>
    <row r="2" spans="1:12" ht="32.700000000000003" customHeight="1">
      <c r="I2" s="114" t="s">
        <v>83</v>
      </c>
      <c r="J2" s="114"/>
      <c r="K2" s="114"/>
      <c r="L2" s="114"/>
    </row>
    <row r="3" spans="1:12" ht="19.95" customHeight="1">
      <c r="I3" s="114" t="s">
        <v>586</v>
      </c>
      <c r="J3" s="114"/>
      <c r="K3" s="114"/>
      <c r="L3" s="114"/>
    </row>
    <row r="4" spans="1:12" ht="14.7" customHeight="1">
      <c r="I4" s="114" t="s">
        <v>590</v>
      </c>
      <c r="J4" s="114"/>
      <c r="K4" s="114"/>
      <c r="L4" s="114"/>
    </row>
    <row r="5" spans="1:12" s="7" customFormat="1" ht="40.200000000000003" customHeight="1">
      <c r="A5" s="112" t="s">
        <v>589</v>
      </c>
      <c r="B5" s="112"/>
      <c r="C5" s="112"/>
      <c r="D5" s="112"/>
      <c r="E5" s="112"/>
      <c r="F5" s="112"/>
      <c r="G5" s="113"/>
      <c r="H5" s="112"/>
      <c r="I5" s="112"/>
      <c r="J5" s="112"/>
      <c r="K5" s="112"/>
      <c r="L5" s="6"/>
    </row>
    <row r="6" spans="1:12" s="7" customFormat="1" ht="24" customHeight="1" thickBot="1">
      <c r="A6" s="8"/>
      <c r="B6" s="8"/>
      <c r="C6" s="8"/>
      <c r="D6" s="8"/>
      <c r="E6" s="9"/>
      <c r="F6" s="10"/>
      <c r="G6" s="10"/>
      <c r="H6" s="10"/>
      <c r="I6" s="11"/>
      <c r="J6" s="11"/>
      <c r="K6" s="12"/>
      <c r="L6" s="12" t="s">
        <v>583</v>
      </c>
    </row>
    <row r="7" spans="1:12" s="7" customFormat="1" ht="124.8">
      <c r="A7" s="13" t="s">
        <v>34</v>
      </c>
      <c r="B7" s="14" t="s">
        <v>61</v>
      </c>
      <c r="C7" s="15" t="s">
        <v>35</v>
      </c>
      <c r="D7" s="15" t="s">
        <v>36</v>
      </c>
      <c r="E7" s="16" t="s">
        <v>574</v>
      </c>
      <c r="F7" s="17" t="s">
        <v>585</v>
      </c>
      <c r="G7" s="18" t="s">
        <v>577</v>
      </c>
      <c r="H7" s="18" t="s">
        <v>587</v>
      </c>
      <c r="I7" s="19" t="s">
        <v>571</v>
      </c>
      <c r="J7" s="20" t="s">
        <v>581</v>
      </c>
      <c r="K7" s="21" t="s">
        <v>572</v>
      </c>
      <c r="L7" s="15" t="s">
        <v>573</v>
      </c>
    </row>
    <row r="8" spans="1:12" s="7" customFormat="1" ht="18" customHeight="1">
      <c r="A8" s="22">
        <v>1</v>
      </c>
      <c r="B8" s="23">
        <v>2</v>
      </c>
      <c r="C8" s="24">
        <v>3</v>
      </c>
      <c r="D8" s="24">
        <v>4</v>
      </c>
      <c r="E8" s="25">
        <v>5</v>
      </c>
      <c r="F8" s="24">
        <v>6</v>
      </c>
      <c r="G8" s="25">
        <v>7</v>
      </c>
      <c r="H8" s="24" t="s">
        <v>578</v>
      </c>
      <c r="I8" s="25" t="s">
        <v>579</v>
      </c>
      <c r="J8" s="25">
        <v>10</v>
      </c>
      <c r="K8" s="26" t="s">
        <v>580</v>
      </c>
      <c r="L8" s="24">
        <v>12</v>
      </c>
    </row>
    <row r="9" spans="1:12" s="1" customFormat="1" ht="15.6">
      <c r="A9" s="27" t="s">
        <v>27</v>
      </c>
      <c r="B9" s="27" t="s">
        <v>49</v>
      </c>
      <c r="C9" s="27" t="s">
        <v>147</v>
      </c>
      <c r="D9" s="28" t="s">
        <v>26</v>
      </c>
      <c r="E9" s="29">
        <f>E10+E17+E27+E38+E44+E53+E59</f>
        <v>286452950.99000001</v>
      </c>
      <c r="F9" s="29">
        <f>F10+F17+F27+F38+F44+F53+F59</f>
        <v>317718381.38999999</v>
      </c>
      <c r="G9" s="29">
        <f>G10+G17+G27+G38+G44+G53+G59</f>
        <v>305498209.69</v>
      </c>
      <c r="H9" s="29">
        <f>$F9-$G9</f>
        <v>12220171.699999999</v>
      </c>
      <c r="I9" s="30">
        <f t="shared" ref="I9:I72" si="0">$G9/$E9*100</f>
        <v>106.65</v>
      </c>
      <c r="J9" s="29"/>
      <c r="K9" s="29">
        <f t="shared" ref="K9:K72" si="1">$G9/$F9*100</f>
        <v>96.15</v>
      </c>
      <c r="L9" s="31"/>
    </row>
    <row r="10" spans="1:12" s="1" customFormat="1" ht="46.8">
      <c r="A10" s="24" t="s">
        <v>100</v>
      </c>
      <c r="B10" s="23" t="s">
        <v>101</v>
      </c>
      <c r="C10" s="24" t="s">
        <v>147</v>
      </c>
      <c r="D10" s="23" t="s">
        <v>26</v>
      </c>
      <c r="E10" s="31">
        <f t="shared" ref="E10:G13" si="2">E11</f>
        <v>3025000</v>
      </c>
      <c r="F10" s="31">
        <f t="shared" si="2"/>
        <v>4763487.8899999997</v>
      </c>
      <c r="G10" s="31">
        <f t="shared" si="2"/>
        <v>4763487.8899999997</v>
      </c>
      <c r="H10" s="31">
        <f t="shared" ref="H10:H72" si="3">$F10-$G10</f>
        <v>0</v>
      </c>
      <c r="I10" s="32">
        <f t="shared" si="0"/>
        <v>157.47</v>
      </c>
      <c r="J10" s="31"/>
      <c r="K10" s="31">
        <f t="shared" si="1"/>
        <v>100</v>
      </c>
      <c r="L10" s="31"/>
    </row>
    <row r="11" spans="1:12" s="1" customFormat="1" ht="46.8">
      <c r="A11" s="33" t="s">
        <v>349</v>
      </c>
      <c r="B11" s="23" t="s">
        <v>101</v>
      </c>
      <c r="C11" s="24" t="s">
        <v>148</v>
      </c>
      <c r="D11" s="23" t="s">
        <v>26</v>
      </c>
      <c r="E11" s="31">
        <f t="shared" si="2"/>
        <v>3025000</v>
      </c>
      <c r="F11" s="31">
        <f t="shared" si="2"/>
        <v>4763487.8899999997</v>
      </c>
      <c r="G11" s="31">
        <f t="shared" si="2"/>
        <v>4763487.8899999997</v>
      </c>
      <c r="H11" s="31">
        <f t="shared" si="3"/>
        <v>0</v>
      </c>
      <c r="I11" s="32">
        <f t="shared" si="0"/>
        <v>157.47</v>
      </c>
      <c r="J11" s="31"/>
      <c r="K11" s="31">
        <f t="shared" si="1"/>
        <v>100</v>
      </c>
      <c r="L11" s="31"/>
    </row>
    <row r="12" spans="1:12" s="1" customFormat="1" ht="31.2">
      <c r="A12" s="24" t="s">
        <v>347</v>
      </c>
      <c r="B12" s="23" t="s">
        <v>101</v>
      </c>
      <c r="C12" s="24" t="s">
        <v>277</v>
      </c>
      <c r="D12" s="23" t="s">
        <v>26</v>
      </c>
      <c r="E12" s="31">
        <f t="shared" si="2"/>
        <v>3025000</v>
      </c>
      <c r="F12" s="31">
        <f t="shared" si="2"/>
        <v>4763487.8899999997</v>
      </c>
      <c r="G12" s="31">
        <f t="shared" si="2"/>
        <v>4763487.8899999997</v>
      </c>
      <c r="H12" s="31">
        <f t="shared" si="3"/>
        <v>0</v>
      </c>
      <c r="I12" s="32">
        <f t="shared" si="0"/>
        <v>157.47</v>
      </c>
      <c r="J12" s="31"/>
      <c r="K12" s="31">
        <f t="shared" si="1"/>
        <v>100</v>
      </c>
      <c r="L12" s="29"/>
    </row>
    <row r="13" spans="1:12" s="1" customFormat="1" ht="15.6">
      <c r="A13" s="24" t="s">
        <v>348</v>
      </c>
      <c r="B13" s="23" t="s">
        <v>101</v>
      </c>
      <c r="C13" s="24" t="s">
        <v>274</v>
      </c>
      <c r="D13" s="23" t="s">
        <v>26</v>
      </c>
      <c r="E13" s="31">
        <f t="shared" si="2"/>
        <v>3025000</v>
      </c>
      <c r="F13" s="31">
        <f t="shared" si="2"/>
        <v>4763487.8899999997</v>
      </c>
      <c r="G13" s="31">
        <f t="shared" si="2"/>
        <v>4763487.8899999997</v>
      </c>
      <c r="H13" s="31">
        <f t="shared" si="3"/>
        <v>0</v>
      </c>
      <c r="I13" s="32">
        <f t="shared" si="0"/>
        <v>157.47</v>
      </c>
      <c r="J13" s="31"/>
      <c r="K13" s="31">
        <f t="shared" si="1"/>
        <v>100</v>
      </c>
      <c r="L13" s="29"/>
    </row>
    <row r="14" spans="1:12" s="1" customFormat="1" ht="15.6">
      <c r="A14" s="24" t="s">
        <v>468</v>
      </c>
      <c r="B14" s="23" t="s">
        <v>101</v>
      </c>
      <c r="C14" s="24" t="s">
        <v>211</v>
      </c>
      <c r="D14" s="23" t="s">
        <v>26</v>
      </c>
      <c r="E14" s="31">
        <f>E15+E16</f>
        <v>3025000</v>
      </c>
      <c r="F14" s="31">
        <f>F15+F16</f>
        <v>4763487.8899999997</v>
      </c>
      <c r="G14" s="31">
        <f>G15+G16</f>
        <v>4763487.8899999997</v>
      </c>
      <c r="H14" s="31">
        <f t="shared" si="3"/>
        <v>0</v>
      </c>
      <c r="I14" s="32">
        <f t="shared" si="0"/>
        <v>157.47</v>
      </c>
      <c r="J14" s="31"/>
      <c r="K14" s="31">
        <f t="shared" si="1"/>
        <v>100</v>
      </c>
      <c r="L14" s="31"/>
    </row>
    <row r="15" spans="1:12" s="1" customFormat="1" ht="31.2">
      <c r="A15" s="24" t="s">
        <v>120</v>
      </c>
      <c r="B15" s="23" t="s">
        <v>101</v>
      </c>
      <c r="C15" s="24" t="s">
        <v>211</v>
      </c>
      <c r="D15" s="24">
        <v>120</v>
      </c>
      <c r="E15" s="31">
        <v>3025000</v>
      </c>
      <c r="F15" s="31">
        <v>4664987.8899999997</v>
      </c>
      <c r="G15" s="31">
        <v>4664987.8899999997</v>
      </c>
      <c r="H15" s="31">
        <f t="shared" si="3"/>
        <v>0</v>
      </c>
      <c r="I15" s="32">
        <f t="shared" si="0"/>
        <v>154.21</v>
      </c>
      <c r="J15" s="31"/>
      <c r="K15" s="31">
        <f t="shared" si="1"/>
        <v>100</v>
      </c>
      <c r="L15" s="31"/>
    </row>
    <row r="16" spans="1:12" s="1" customFormat="1" ht="31.2">
      <c r="A16" s="24" t="s">
        <v>118</v>
      </c>
      <c r="B16" s="23" t="s">
        <v>101</v>
      </c>
      <c r="C16" s="24" t="s">
        <v>211</v>
      </c>
      <c r="D16" s="24">
        <v>240</v>
      </c>
      <c r="E16" s="31">
        <v>0</v>
      </c>
      <c r="F16" s="31">
        <v>98500</v>
      </c>
      <c r="G16" s="31">
        <v>98500</v>
      </c>
      <c r="H16" s="31">
        <f t="shared" si="3"/>
        <v>0</v>
      </c>
      <c r="I16" s="32" t="e">
        <f t="shared" si="0"/>
        <v>#DIV/0!</v>
      </c>
      <c r="J16" s="31"/>
      <c r="K16" s="31">
        <f t="shared" si="1"/>
        <v>100</v>
      </c>
      <c r="L16" s="31"/>
    </row>
    <row r="17" spans="1:12" s="1" customFormat="1" ht="62.4">
      <c r="A17" s="24" t="s">
        <v>41</v>
      </c>
      <c r="B17" s="23" t="s">
        <v>52</v>
      </c>
      <c r="C17" s="24" t="s">
        <v>147</v>
      </c>
      <c r="D17" s="23" t="s">
        <v>26</v>
      </c>
      <c r="E17" s="31">
        <f>E18</f>
        <v>14011716.369999999</v>
      </c>
      <c r="F17" s="31">
        <f>F18</f>
        <v>13518165.369999999</v>
      </c>
      <c r="G17" s="31">
        <f>G18</f>
        <v>13328625.720000001</v>
      </c>
      <c r="H17" s="31">
        <f t="shared" si="3"/>
        <v>189539.65</v>
      </c>
      <c r="I17" s="32">
        <f t="shared" si="0"/>
        <v>95.12</v>
      </c>
      <c r="J17" s="31"/>
      <c r="K17" s="31">
        <f t="shared" si="1"/>
        <v>98.6</v>
      </c>
      <c r="L17" s="31"/>
    </row>
    <row r="18" spans="1:12" s="1" customFormat="1" ht="46.8">
      <c r="A18" s="33" t="s">
        <v>349</v>
      </c>
      <c r="B18" s="23" t="s">
        <v>52</v>
      </c>
      <c r="C18" s="24" t="s">
        <v>148</v>
      </c>
      <c r="D18" s="23" t="s">
        <v>26</v>
      </c>
      <c r="E18" s="31">
        <f>E19+E23+E25</f>
        <v>14011716.369999999</v>
      </c>
      <c r="F18" s="31">
        <f t="shared" ref="F18:G18" si="4">F19+F23+F25</f>
        <v>13518165.369999999</v>
      </c>
      <c r="G18" s="31">
        <f t="shared" si="4"/>
        <v>13328625.720000001</v>
      </c>
      <c r="H18" s="31">
        <f t="shared" si="3"/>
        <v>189539.65</v>
      </c>
      <c r="I18" s="32">
        <f t="shared" si="0"/>
        <v>95.12</v>
      </c>
      <c r="J18" s="31"/>
      <c r="K18" s="31">
        <f t="shared" si="1"/>
        <v>98.6</v>
      </c>
      <c r="L18" s="31"/>
    </row>
    <row r="19" spans="1:12" s="2" customFormat="1" ht="31.2">
      <c r="A19" s="24" t="s">
        <v>93</v>
      </c>
      <c r="B19" s="23" t="s">
        <v>52</v>
      </c>
      <c r="C19" s="24" t="s">
        <v>212</v>
      </c>
      <c r="D19" s="23" t="s">
        <v>26</v>
      </c>
      <c r="E19" s="31">
        <f>E20+E21+E22</f>
        <v>8513563</v>
      </c>
      <c r="F19" s="31">
        <f>F20+F21+F22</f>
        <v>8340942</v>
      </c>
      <c r="G19" s="31">
        <f>G20+G21+G22</f>
        <v>8221094.7000000002</v>
      </c>
      <c r="H19" s="31">
        <f t="shared" si="3"/>
        <v>119847.3</v>
      </c>
      <c r="I19" s="32">
        <f t="shared" si="0"/>
        <v>96.56</v>
      </c>
      <c r="J19" s="31"/>
      <c r="K19" s="31">
        <f t="shared" si="1"/>
        <v>98.56</v>
      </c>
      <c r="L19" s="31"/>
    </row>
    <row r="20" spans="1:12" s="2" customFormat="1" ht="31.2">
      <c r="A20" s="24" t="s">
        <v>120</v>
      </c>
      <c r="B20" s="23" t="s">
        <v>52</v>
      </c>
      <c r="C20" s="24" t="s">
        <v>212</v>
      </c>
      <c r="D20" s="24">
        <v>120</v>
      </c>
      <c r="E20" s="34">
        <f>6883963</f>
        <v>6883963</v>
      </c>
      <c r="F20" s="34">
        <f>6883963+205000+61900-23000-130000+17000</f>
        <v>7014863</v>
      </c>
      <c r="G20" s="34">
        <v>6895967.0499999998</v>
      </c>
      <c r="H20" s="34">
        <f t="shared" si="3"/>
        <v>118895.95</v>
      </c>
      <c r="I20" s="35">
        <f t="shared" si="0"/>
        <v>100.17</v>
      </c>
      <c r="J20" s="34"/>
      <c r="K20" s="34">
        <f t="shared" si="1"/>
        <v>98.31</v>
      </c>
      <c r="L20" s="31"/>
    </row>
    <row r="21" spans="1:12" s="2" customFormat="1" ht="31.2">
      <c r="A21" s="36" t="s">
        <v>118</v>
      </c>
      <c r="B21" s="23" t="s">
        <v>52</v>
      </c>
      <c r="C21" s="24" t="s">
        <v>212</v>
      </c>
      <c r="D21" s="24">
        <v>240</v>
      </c>
      <c r="E21" s="34">
        <f>1604600</f>
        <v>1604600</v>
      </c>
      <c r="F21" s="34">
        <f>1604600-281111</f>
        <v>1323489</v>
      </c>
      <c r="G21" s="34">
        <v>1322537.6499999999</v>
      </c>
      <c r="H21" s="34">
        <f t="shared" si="3"/>
        <v>951.35</v>
      </c>
      <c r="I21" s="35">
        <f t="shared" si="0"/>
        <v>82.42</v>
      </c>
      <c r="J21" s="34"/>
      <c r="K21" s="34">
        <f t="shared" si="1"/>
        <v>99.93</v>
      </c>
      <c r="L21" s="31"/>
    </row>
    <row r="22" spans="1:12" s="2" customFormat="1" ht="15.6">
      <c r="A22" s="36" t="s">
        <v>122</v>
      </c>
      <c r="B22" s="23" t="s">
        <v>52</v>
      </c>
      <c r="C22" s="24" t="s">
        <v>212</v>
      </c>
      <c r="D22" s="24">
        <v>850</v>
      </c>
      <c r="E22" s="34">
        <f>25000</f>
        <v>25000</v>
      </c>
      <c r="F22" s="34">
        <f>25000-22410</f>
        <v>2590</v>
      </c>
      <c r="G22" s="34">
        <v>2590</v>
      </c>
      <c r="H22" s="34">
        <f t="shared" si="3"/>
        <v>0</v>
      </c>
      <c r="I22" s="35">
        <f t="shared" si="0"/>
        <v>10.36</v>
      </c>
      <c r="J22" s="34"/>
      <c r="K22" s="34">
        <f t="shared" si="1"/>
        <v>100</v>
      </c>
      <c r="L22" s="31"/>
    </row>
    <row r="23" spans="1:12" s="1" customFormat="1" ht="15.6">
      <c r="A23" s="24" t="s">
        <v>475</v>
      </c>
      <c r="B23" s="23" t="s">
        <v>52</v>
      </c>
      <c r="C23" s="24" t="s">
        <v>213</v>
      </c>
      <c r="D23" s="23" t="s">
        <v>26</v>
      </c>
      <c r="E23" s="31">
        <f>E24</f>
        <v>3025000</v>
      </c>
      <c r="F23" s="31">
        <f>F24</f>
        <v>3385600</v>
      </c>
      <c r="G23" s="31">
        <f>G24</f>
        <v>3315913.54</v>
      </c>
      <c r="H23" s="31">
        <f t="shared" si="3"/>
        <v>69686.460000000006</v>
      </c>
      <c r="I23" s="32">
        <f t="shared" si="0"/>
        <v>109.62</v>
      </c>
      <c r="J23" s="31"/>
      <c r="K23" s="31">
        <f t="shared" si="1"/>
        <v>97.94</v>
      </c>
      <c r="L23" s="31"/>
    </row>
    <row r="24" spans="1:12" s="1" customFormat="1" ht="31.2">
      <c r="A24" s="24" t="s">
        <v>120</v>
      </c>
      <c r="B24" s="23" t="s">
        <v>52</v>
      </c>
      <c r="C24" s="24" t="s">
        <v>213</v>
      </c>
      <c r="D24" s="24">
        <v>120</v>
      </c>
      <c r="E24" s="34">
        <f>3025000</f>
        <v>3025000</v>
      </c>
      <c r="F24" s="34">
        <f>3025000+277000+83600</f>
        <v>3385600</v>
      </c>
      <c r="G24" s="34">
        <v>3315913.54</v>
      </c>
      <c r="H24" s="34">
        <f t="shared" si="3"/>
        <v>69686.460000000006</v>
      </c>
      <c r="I24" s="35">
        <f t="shared" si="0"/>
        <v>109.62</v>
      </c>
      <c r="J24" s="34"/>
      <c r="K24" s="34">
        <f t="shared" si="1"/>
        <v>97.94</v>
      </c>
      <c r="L24" s="31"/>
    </row>
    <row r="25" spans="1:12" s="1" customFormat="1" ht="15.6">
      <c r="A25" s="24" t="s">
        <v>476</v>
      </c>
      <c r="B25" s="23" t="s">
        <v>52</v>
      </c>
      <c r="C25" s="24" t="s">
        <v>25</v>
      </c>
      <c r="D25" s="23" t="s">
        <v>26</v>
      </c>
      <c r="E25" s="31">
        <f>E26</f>
        <v>2473153.37</v>
      </c>
      <c r="F25" s="31">
        <f>F26</f>
        <v>1791623.37</v>
      </c>
      <c r="G25" s="31">
        <f>G26</f>
        <v>1791617.48</v>
      </c>
      <c r="H25" s="31">
        <f t="shared" si="3"/>
        <v>5.89</v>
      </c>
      <c r="I25" s="32">
        <f t="shared" si="0"/>
        <v>72.44</v>
      </c>
      <c r="J25" s="31"/>
      <c r="K25" s="31">
        <f t="shared" si="1"/>
        <v>100</v>
      </c>
      <c r="L25" s="37"/>
    </row>
    <row r="26" spans="1:12" s="1" customFormat="1" ht="31.2">
      <c r="A26" s="24" t="s">
        <v>120</v>
      </c>
      <c r="B26" s="23" t="s">
        <v>52</v>
      </c>
      <c r="C26" s="24" t="s">
        <v>25</v>
      </c>
      <c r="D26" s="23" t="s">
        <v>121</v>
      </c>
      <c r="E26" s="34">
        <f>2473153.37</f>
        <v>2473153.37</v>
      </c>
      <c r="F26" s="34">
        <f>2473153.37-482000-145500-64030+10000</f>
        <v>1791623.37</v>
      </c>
      <c r="G26" s="34">
        <v>1791617.48</v>
      </c>
      <c r="H26" s="34">
        <f t="shared" si="3"/>
        <v>5.89</v>
      </c>
      <c r="I26" s="35">
        <f t="shared" si="0"/>
        <v>72.44</v>
      </c>
      <c r="J26" s="34"/>
      <c r="K26" s="34">
        <f t="shared" si="1"/>
        <v>100</v>
      </c>
      <c r="L26" s="37"/>
    </row>
    <row r="27" spans="1:12" s="1" customFormat="1" ht="46.8">
      <c r="A27" s="24" t="s">
        <v>102</v>
      </c>
      <c r="B27" s="23" t="s">
        <v>53</v>
      </c>
      <c r="C27" s="24" t="s">
        <v>147</v>
      </c>
      <c r="D27" s="23" t="s">
        <v>26</v>
      </c>
      <c r="E27" s="31">
        <f t="shared" ref="E27:G29" si="5">E28</f>
        <v>114633000</v>
      </c>
      <c r="F27" s="31">
        <f t="shared" si="5"/>
        <v>139108426.34</v>
      </c>
      <c r="G27" s="31">
        <f t="shared" si="5"/>
        <v>136670038.41999999</v>
      </c>
      <c r="H27" s="31">
        <f t="shared" si="3"/>
        <v>2438387.92</v>
      </c>
      <c r="I27" s="32">
        <f t="shared" si="0"/>
        <v>119.22</v>
      </c>
      <c r="J27" s="31"/>
      <c r="K27" s="31">
        <f t="shared" si="1"/>
        <v>98.25</v>
      </c>
      <c r="L27" s="37"/>
    </row>
    <row r="28" spans="1:12" s="1" customFormat="1" ht="46.8">
      <c r="A28" s="33" t="s">
        <v>349</v>
      </c>
      <c r="B28" s="23" t="s">
        <v>53</v>
      </c>
      <c r="C28" s="24" t="s">
        <v>148</v>
      </c>
      <c r="D28" s="23" t="s">
        <v>26</v>
      </c>
      <c r="E28" s="31">
        <f t="shared" si="5"/>
        <v>114633000</v>
      </c>
      <c r="F28" s="31">
        <f t="shared" si="5"/>
        <v>139108426.34</v>
      </c>
      <c r="G28" s="31">
        <f t="shared" si="5"/>
        <v>136670038.41999999</v>
      </c>
      <c r="H28" s="31">
        <f t="shared" si="3"/>
        <v>2438387.92</v>
      </c>
      <c r="I28" s="32">
        <f t="shared" si="0"/>
        <v>119.22</v>
      </c>
      <c r="J28" s="31"/>
      <c r="K28" s="31">
        <f t="shared" si="1"/>
        <v>98.25</v>
      </c>
      <c r="L28" s="37"/>
    </row>
    <row r="29" spans="1:12" s="1" customFormat="1" ht="31.2">
      <c r="A29" s="24" t="s">
        <v>347</v>
      </c>
      <c r="B29" s="23" t="s">
        <v>53</v>
      </c>
      <c r="C29" s="24" t="s">
        <v>277</v>
      </c>
      <c r="D29" s="23" t="s">
        <v>26</v>
      </c>
      <c r="E29" s="31">
        <f t="shared" si="5"/>
        <v>114633000</v>
      </c>
      <c r="F29" s="31">
        <f t="shared" si="5"/>
        <v>139108426.34</v>
      </c>
      <c r="G29" s="31">
        <f t="shared" si="5"/>
        <v>136670038.41999999</v>
      </c>
      <c r="H29" s="31">
        <f t="shared" si="3"/>
        <v>2438387.92</v>
      </c>
      <c r="I29" s="32">
        <f t="shared" si="0"/>
        <v>119.22</v>
      </c>
      <c r="J29" s="31"/>
      <c r="K29" s="31">
        <f t="shared" si="1"/>
        <v>98.25</v>
      </c>
      <c r="L29" s="37"/>
    </row>
    <row r="30" spans="1:12" s="1" customFormat="1" ht="15.6">
      <c r="A30" s="24" t="s">
        <v>348</v>
      </c>
      <c r="B30" s="23" t="s">
        <v>53</v>
      </c>
      <c r="C30" s="24" t="s">
        <v>274</v>
      </c>
      <c r="D30" s="23" t="s">
        <v>26</v>
      </c>
      <c r="E30" s="31">
        <f>E31+E35</f>
        <v>114633000</v>
      </c>
      <c r="F30" s="31">
        <f>F31+F35</f>
        <v>139108426.34</v>
      </c>
      <c r="G30" s="31">
        <f>G31+G35</f>
        <v>136670038.41999999</v>
      </c>
      <c r="H30" s="31">
        <f t="shared" si="3"/>
        <v>2438387.92</v>
      </c>
      <c r="I30" s="32">
        <f t="shared" si="0"/>
        <v>119.22</v>
      </c>
      <c r="J30" s="31"/>
      <c r="K30" s="31">
        <f t="shared" si="1"/>
        <v>98.25</v>
      </c>
      <c r="L30" s="38"/>
    </row>
    <row r="31" spans="1:12" s="1" customFormat="1" ht="31.2">
      <c r="A31" s="24" t="s">
        <v>93</v>
      </c>
      <c r="B31" s="23" t="s">
        <v>53</v>
      </c>
      <c r="C31" s="24" t="s">
        <v>212</v>
      </c>
      <c r="D31" s="23" t="s">
        <v>26</v>
      </c>
      <c r="E31" s="37">
        <f>E32+E33+E34</f>
        <v>114633000</v>
      </c>
      <c r="F31" s="37">
        <f>F32+F33+F34</f>
        <v>137937773.34</v>
      </c>
      <c r="G31" s="37">
        <f>G32+G33+G34</f>
        <v>135499385.41999999</v>
      </c>
      <c r="H31" s="37">
        <f t="shared" si="3"/>
        <v>2438387.92</v>
      </c>
      <c r="I31" s="39">
        <f t="shared" si="0"/>
        <v>118.2</v>
      </c>
      <c r="J31" s="37"/>
      <c r="K31" s="37">
        <f t="shared" si="1"/>
        <v>98.23</v>
      </c>
      <c r="L31" s="38"/>
    </row>
    <row r="32" spans="1:12" s="2" customFormat="1" ht="31.2">
      <c r="A32" s="24" t="s">
        <v>120</v>
      </c>
      <c r="B32" s="23" t="s">
        <v>53</v>
      </c>
      <c r="C32" s="24" t="s">
        <v>212</v>
      </c>
      <c r="D32" s="24">
        <v>120</v>
      </c>
      <c r="E32" s="37">
        <v>112162000</v>
      </c>
      <c r="F32" s="37">
        <v>133750334.93000001</v>
      </c>
      <c r="G32" s="37">
        <v>131747655.01000001</v>
      </c>
      <c r="H32" s="37">
        <f t="shared" si="3"/>
        <v>2002679.92</v>
      </c>
      <c r="I32" s="39">
        <f t="shared" si="0"/>
        <v>117.46</v>
      </c>
      <c r="J32" s="37"/>
      <c r="K32" s="37">
        <f t="shared" si="1"/>
        <v>98.5</v>
      </c>
      <c r="L32" s="31"/>
    </row>
    <row r="33" spans="1:12" s="1" customFormat="1" ht="31.2">
      <c r="A33" s="36" t="s">
        <v>118</v>
      </c>
      <c r="B33" s="23" t="s">
        <v>53</v>
      </c>
      <c r="C33" s="24" t="s">
        <v>212</v>
      </c>
      <c r="D33" s="24">
        <v>240</v>
      </c>
      <c r="E33" s="37">
        <v>2340000</v>
      </c>
      <c r="F33" s="37">
        <v>2815981.32</v>
      </c>
      <c r="G33" s="37">
        <v>2414893.54</v>
      </c>
      <c r="H33" s="37">
        <f t="shared" si="3"/>
        <v>401087.78</v>
      </c>
      <c r="I33" s="39">
        <f t="shared" si="0"/>
        <v>103.2</v>
      </c>
      <c r="J33" s="37"/>
      <c r="K33" s="37">
        <f t="shared" si="1"/>
        <v>85.76</v>
      </c>
      <c r="L33" s="31"/>
    </row>
    <row r="34" spans="1:12" s="1" customFormat="1" ht="15.6">
      <c r="A34" s="36" t="s">
        <v>122</v>
      </c>
      <c r="B34" s="23" t="s">
        <v>53</v>
      </c>
      <c r="C34" s="24" t="s">
        <v>212</v>
      </c>
      <c r="D34" s="24">
        <v>850</v>
      </c>
      <c r="E34" s="37">
        <v>131000</v>
      </c>
      <c r="F34" s="37">
        <v>1371457.09</v>
      </c>
      <c r="G34" s="37">
        <v>1336836.8700000001</v>
      </c>
      <c r="H34" s="37">
        <f t="shared" si="3"/>
        <v>34620.22</v>
      </c>
      <c r="I34" s="39">
        <f t="shared" si="0"/>
        <v>1020.49</v>
      </c>
      <c r="J34" s="37"/>
      <c r="K34" s="37">
        <f t="shared" si="1"/>
        <v>97.48</v>
      </c>
      <c r="L34" s="31"/>
    </row>
    <row r="35" spans="1:12" s="1" customFormat="1" ht="31.2">
      <c r="A35" s="24" t="s">
        <v>350</v>
      </c>
      <c r="B35" s="23" t="s">
        <v>53</v>
      </c>
      <c r="C35" s="24" t="s">
        <v>215</v>
      </c>
      <c r="D35" s="23" t="s">
        <v>26</v>
      </c>
      <c r="E35" s="37">
        <f>E37+E36</f>
        <v>0</v>
      </c>
      <c r="F35" s="37">
        <f>F37+F36</f>
        <v>1170653</v>
      </c>
      <c r="G35" s="37">
        <f>G37+G36</f>
        <v>1170653</v>
      </c>
      <c r="H35" s="37">
        <f t="shared" si="3"/>
        <v>0</v>
      </c>
      <c r="I35" s="39" t="e">
        <f t="shared" si="0"/>
        <v>#DIV/0!</v>
      </c>
      <c r="J35" s="37"/>
      <c r="K35" s="37">
        <f t="shared" si="1"/>
        <v>100</v>
      </c>
      <c r="L35" s="31"/>
    </row>
    <row r="36" spans="1:12" s="1" customFormat="1" ht="124.8">
      <c r="A36" s="24" t="s">
        <v>118</v>
      </c>
      <c r="B36" s="23" t="s">
        <v>53</v>
      </c>
      <c r="C36" s="24" t="s">
        <v>215</v>
      </c>
      <c r="D36" s="24">
        <v>240</v>
      </c>
      <c r="E36" s="40">
        <v>0</v>
      </c>
      <c r="F36" s="40">
        <v>390653</v>
      </c>
      <c r="G36" s="40">
        <v>390653</v>
      </c>
      <c r="H36" s="40">
        <f t="shared" si="3"/>
        <v>0</v>
      </c>
      <c r="I36" s="41" t="e">
        <f t="shared" si="0"/>
        <v>#DIV/0!</v>
      </c>
      <c r="J36" s="38" t="s">
        <v>576</v>
      </c>
      <c r="K36" s="37">
        <f t="shared" si="1"/>
        <v>100</v>
      </c>
      <c r="L36" s="42"/>
    </row>
    <row r="37" spans="1:12" s="1" customFormat="1" ht="124.8">
      <c r="A37" s="24" t="s">
        <v>545</v>
      </c>
      <c r="B37" s="23" t="s">
        <v>53</v>
      </c>
      <c r="C37" s="24" t="s">
        <v>215</v>
      </c>
      <c r="D37" s="24">
        <v>360</v>
      </c>
      <c r="E37" s="37">
        <v>0</v>
      </c>
      <c r="F37" s="37">
        <v>780000</v>
      </c>
      <c r="G37" s="37">
        <v>780000</v>
      </c>
      <c r="H37" s="37">
        <f t="shared" si="3"/>
        <v>0</v>
      </c>
      <c r="I37" s="39" t="e">
        <f t="shared" si="0"/>
        <v>#DIV/0!</v>
      </c>
      <c r="J37" s="38" t="s">
        <v>576</v>
      </c>
      <c r="K37" s="37">
        <f t="shared" si="1"/>
        <v>100</v>
      </c>
      <c r="L37" s="31"/>
    </row>
    <row r="38" spans="1:12" s="1" customFormat="1" ht="15.6">
      <c r="A38" s="23" t="s">
        <v>582</v>
      </c>
      <c r="B38" s="23" t="s">
        <v>351</v>
      </c>
      <c r="C38" s="24" t="s">
        <v>147</v>
      </c>
      <c r="D38" s="23" t="s">
        <v>26</v>
      </c>
      <c r="E38" s="31">
        <f t="shared" ref="E38:G42" si="6">E39</f>
        <v>4848</v>
      </c>
      <c r="F38" s="31">
        <f t="shared" si="6"/>
        <v>17716</v>
      </c>
      <c r="G38" s="31">
        <f t="shared" si="6"/>
        <v>17716</v>
      </c>
      <c r="H38" s="31">
        <f t="shared" si="3"/>
        <v>0</v>
      </c>
      <c r="I38" s="32">
        <f t="shared" si="0"/>
        <v>365.43</v>
      </c>
      <c r="J38" s="31"/>
      <c r="K38" s="31">
        <f t="shared" si="1"/>
        <v>100</v>
      </c>
      <c r="L38" s="31"/>
    </row>
    <row r="39" spans="1:12" s="1" customFormat="1" ht="46.8">
      <c r="A39" s="23" t="s">
        <v>349</v>
      </c>
      <c r="B39" s="23" t="s">
        <v>351</v>
      </c>
      <c r="C39" s="24" t="s">
        <v>148</v>
      </c>
      <c r="D39" s="23" t="s">
        <v>26</v>
      </c>
      <c r="E39" s="31">
        <f t="shared" si="6"/>
        <v>4848</v>
      </c>
      <c r="F39" s="31">
        <f t="shared" si="6"/>
        <v>17716</v>
      </c>
      <c r="G39" s="31">
        <f t="shared" si="6"/>
        <v>17716</v>
      </c>
      <c r="H39" s="31">
        <f t="shared" si="3"/>
        <v>0</v>
      </c>
      <c r="I39" s="32">
        <f t="shared" si="0"/>
        <v>365.43</v>
      </c>
      <c r="J39" s="31"/>
      <c r="K39" s="31">
        <f t="shared" si="1"/>
        <v>100</v>
      </c>
      <c r="L39" s="31"/>
    </row>
    <row r="40" spans="1:12" s="1" customFormat="1" ht="31.2">
      <c r="A40" s="24" t="s">
        <v>347</v>
      </c>
      <c r="B40" s="23" t="s">
        <v>351</v>
      </c>
      <c r="C40" s="24" t="s">
        <v>277</v>
      </c>
      <c r="D40" s="23" t="s">
        <v>26</v>
      </c>
      <c r="E40" s="31">
        <f t="shared" si="6"/>
        <v>4848</v>
      </c>
      <c r="F40" s="31">
        <f t="shared" si="6"/>
        <v>17716</v>
      </c>
      <c r="G40" s="31">
        <f t="shared" si="6"/>
        <v>17716</v>
      </c>
      <c r="H40" s="31">
        <f t="shared" si="3"/>
        <v>0</v>
      </c>
      <c r="I40" s="32">
        <f t="shared" si="0"/>
        <v>365.43</v>
      </c>
      <c r="J40" s="31"/>
      <c r="K40" s="31">
        <f t="shared" si="1"/>
        <v>100</v>
      </c>
      <c r="L40" s="31"/>
    </row>
    <row r="41" spans="1:12" s="1" customFormat="1" ht="15.6">
      <c r="A41" s="24" t="s">
        <v>348</v>
      </c>
      <c r="B41" s="23" t="s">
        <v>351</v>
      </c>
      <c r="C41" s="24" t="s">
        <v>274</v>
      </c>
      <c r="D41" s="23" t="s">
        <v>26</v>
      </c>
      <c r="E41" s="31">
        <f t="shared" si="6"/>
        <v>4848</v>
      </c>
      <c r="F41" s="31">
        <f t="shared" si="6"/>
        <v>17716</v>
      </c>
      <c r="G41" s="31">
        <f t="shared" si="6"/>
        <v>17716</v>
      </c>
      <c r="H41" s="31">
        <f t="shared" si="3"/>
        <v>0</v>
      </c>
      <c r="I41" s="32">
        <f t="shared" si="0"/>
        <v>365.43</v>
      </c>
      <c r="J41" s="31"/>
      <c r="K41" s="31">
        <f t="shared" si="1"/>
        <v>100</v>
      </c>
      <c r="L41" s="31"/>
    </row>
    <row r="42" spans="1:12" s="1" customFormat="1" ht="62.4">
      <c r="A42" s="43" t="s">
        <v>150</v>
      </c>
      <c r="B42" s="23" t="s">
        <v>351</v>
      </c>
      <c r="C42" s="24" t="s">
        <v>352</v>
      </c>
      <c r="D42" s="23" t="s">
        <v>26</v>
      </c>
      <c r="E42" s="31">
        <f t="shared" si="6"/>
        <v>4848</v>
      </c>
      <c r="F42" s="31">
        <f t="shared" si="6"/>
        <v>17716</v>
      </c>
      <c r="G42" s="31">
        <f t="shared" si="6"/>
        <v>17716</v>
      </c>
      <c r="H42" s="31">
        <f t="shared" si="3"/>
        <v>0</v>
      </c>
      <c r="I42" s="32">
        <f t="shared" si="0"/>
        <v>365.43</v>
      </c>
      <c r="J42" s="31"/>
      <c r="K42" s="31">
        <f t="shared" si="1"/>
        <v>100</v>
      </c>
      <c r="L42" s="34"/>
    </row>
    <row r="43" spans="1:12" s="1" customFormat="1" ht="124.8">
      <c r="A43" s="24" t="s">
        <v>118</v>
      </c>
      <c r="B43" s="23" t="s">
        <v>351</v>
      </c>
      <c r="C43" s="24" t="s">
        <v>352</v>
      </c>
      <c r="D43" s="24">
        <v>240</v>
      </c>
      <c r="E43" s="42">
        <v>4848</v>
      </c>
      <c r="F43" s="42">
        <f>4848+12868</f>
        <v>17716</v>
      </c>
      <c r="G43" s="42">
        <f>4848+12868</f>
        <v>17716</v>
      </c>
      <c r="H43" s="42">
        <f t="shared" si="3"/>
        <v>0</v>
      </c>
      <c r="I43" s="44">
        <f t="shared" si="0"/>
        <v>365.43</v>
      </c>
      <c r="J43" s="42" t="s">
        <v>575</v>
      </c>
      <c r="K43" s="42">
        <f t="shared" si="1"/>
        <v>100</v>
      </c>
      <c r="L43" s="45" t="s">
        <v>576</v>
      </c>
    </row>
    <row r="44" spans="1:12" s="1" customFormat="1" ht="46.8">
      <c r="A44" s="24" t="s">
        <v>59</v>
      </c>
      <c r="B44" s="23" t="s">
        <v>54</v>
      </c>
      <c r="C44" s="24" t="s">
        <v>147</v>
      </c>
      <c r="D44" s="23" t="s">
        <v>26</v>
      </c>
      <c r="E44" s="31">
        <f t="shared" ref="E44:G45" si="7">E45</f>
        <v>2623926.42</v>
      </c>
      <c r="F44" s="31">
        <f t="shared" si="7"/>
        <v>2979811.75</v>
      </c>
      <c r="G44" s="31">
        <f t="shared" si="7"/>
        <v>2979811.75</v>
      </c>
      <c r="H44" s="31">
        <f t="shared" si="3"/>
        <v>0</v>
      </c>
      <c r="I44" s="32">
        <f t="shared" si="0"/>
        <v>113.56</v>
      </c>
      <c r="J44" s="31"/>
      <c r="K44" s="31">
        <f t="shared" si="1"/>
        <v>100</v>
      </c>
      <c r="L44" s="31"/>
    </row>
    <row r="45" spans="1:12" s="46" customFormat="1" ht="46.8">
      <c r="A45" s="33" t="s">
        <v>349</v>
      </c>
      <c r="B45" s="23" t="s">
        <v>54</v>
      </c>
      <c r="C45" s="24" t="s">
        <v>148</v>
      </c>
      <c r="D45" s="23" t="s">
        <v>26</v>
      </c>
      <c r="E45" s="31">
        <f t="shared" si="7"/>
        <v>2623926.42</v>
      </c>
      <c r="F45" s="31">
        <f t="shared" si="7"/>
        <v>2979811.75</v>
      </c>
      <c r="G45" s="31">
        <f t="shared" si="7"/>
        <v>2979811.75</v>
      </c>
      <c r="H45" s="31">
        <f t="shared" si="3"/>
        <v>0</v>
      </c>
      <c r="I45" s="32">
        <f t="shared" si="0"/>
        <v>113.56</v>
      </c>
      <c r="J45" s="31" t="s">
        <v>574</v>
      </c>
      <c r="K45" s="31">
        <f t="shared" si="1"/>
        <v>100</v>
      </c>
      <c r="L45" s="31"/>
    </row>
    <row r="46" spans="1:12" s="46" customFormat="1" ht="31.2">
      <c r="A46" s="24" t="s">
        <v>347</v>
      </c>
      <c r="B46" s="23" t="s">
        <v>54</v>
      </c>
      <c r="C46" s="24" t="s">
        <v>277</v>
      </c>
      <c r="D46" s="23" t="s">
        <v>26</v>
      </c>
      <c r="E46" s="31">
        <f>E47+E51</f>
        <v>2623926.42</v>
      </c>
      <c r="F46" s="31">
        <f>F47+F51</f>
        <v>2979811.75</v>
      </c>
      <c r="G46" s="31">
        <f>G47+G51</f>
        <v>2979811.75</v>
      </c>
      <c r="H46" s="31">
        <f t="shared" si="3"/>
        <v>0</v>
      </c>
      <c r="I46" s="32">
        <f t="shared" si="0"/>
        <v>113.56</v>
      </c>
      <c r="J46" s="31"/>
      <c r="K46" s="31">
        <f t="shared" si="1"/>
        <v>100</v>
      </c>
      <c r="L46" s="47"/>
    </row>
    <row r="47" spans="1:12" s="46" customFormat="1" ht="15.6">
      <c r="A47" s="24" t="s">
        <v>348</v>
      </c>
      <c r="B47" s="23" t="s">
        <v>54</v>
      </c>
      <c r="C47" s="24" t="s">
        <v>274</v>
      </c>
      <c r="D47" s="23" t="s">
        <v>26</v>
      </c>
      <c r="E47" s="31">
        <f>E48</f>
        <v>600020.16</v>
      </c>
      <c r="F47" s="31">
        <f>F48</f>
        <v>724529.01</v>
      </c>
      <c r="G47" s="31">
        <f>G48</f>
        <v>724529.01</v>
      </c>
      <c r="H47" s="31">
        <f t="shared" si="3"/>
        <v>0</v>
      </c>
      <c r="I47" s="32">
        <f t="shared" si="0"/>
        <v>120.75</v>
      </c>
      <c r="J47" s="31"/>
      <c r="K47" s="31">
        <f t="shared" si="1"/>
        <v>100</v>
      </c>
      <c r="L47" s="34"/>
    </row>
    <row r="48" spans="1:12" s="2" customFormat="1" ht="31.2">
      <c r="A48" s="24" t="s">
        <v>93</v>
      </c>
      <c r="B48" s="23" t="s">
        <v>54</v>
      </c>
      <c r="C48" s="24" t="s">
        <v>212</v>
      </c>
      <c r="D48" s="23" t="s">
        <v>26</v>
      </c>
      <c r="E48" s="31">
        <f>E49+E50</f>
        <v>600020.16</v>
      </c>
      <c r="F48" s="31">
        <f>F49+F50</f>
        <v>724529.01</v>
      </c>
      <c r="G48" s="31">
        <f>G49+G50</f>
        <v>724529.01</v>
      </c>
      <c r="H48" s="31">
        <f t="shared" si="3"/>
        <v>0</v>
      </c>
      <c r="I48" s="32">
        <f t="shared" si="0"/>
        <v>120.75</v>
      </c>
      <c r="J48" s="31"/>
      <c r="K48" s="31">
        <f t="shared" si="1"/>
        <v>100</v>
      </c>
      <c r="L48" s="34"/>
    </row>
    <row r="49" spans="1:12" s="2" customFormat="1" ht="31.2">
      <c r="A49" s="36" t="s">
        <v>118</v>
      </c>
      <c r="B49" s="23" t="s">
        <v>54</v>
      </c>
      <c r="C49" s="24" t="s">
        <v>212</v>
      </c>
      <c r="D49" s="24">
        <v>240</v>
      </c>
      <c r="E49" s="31">
        <v>590020.16</v>
      </c>
      <c r="F49" s="31">
        <f>590020.16+125241.51+9267.34</f>
        <v>724529.01</v>
      </c>
      <c r="G49" s="31">
        <f>590020.16+125241.51+9267.34</f>
        <v>724529.01</v>
      </c>
      <c r="H49" s="31">
        <f t="shared" si="3"/>
        <v>0</v>
      </c>
      <c r="I49" s="32">
        <f t="shared" si="0"/>
        <v>122.8</v>
      </c>
      <c r="J49" s="31"/>
      <c r="K49" s="31">
        <f t="shared" si="1"/>
        <v>100</v>
      </c>
      <c r="L49" s="34"/>
    </row>
    <row r="50" spans="1:12" s="1" customFormat="1" ht="15.6">
      <c r="A50" s="36" t="s">
        <v>122</v>
      </c>
      <c r="B50" s="23" t="s">
        <v>54</v>
      </c>
      <c r="C50" s="24" t="s">
        <v>212</v>
      </c>
      <c r="D50" s="24">
        <v>850</v>
      </c>
      <c r="E50" s="31">
        <v>10000</v>
      </c>
      <c r="F50" s="31">
        <f>10000-10000</f>
        <v>0</v>
      </c>
      <c r="G50" s="31">
        <f>10000-10000</f>
        <v>0</v>
      </c>
      <c r="H50" s="31">
        <f t="shared" si="3"/>
        <v>0</v>
      </c>
      <c r="I50" s="32">
        <f t="shared" si="0"/>
        <v>0</v>
      </c>
      <c r="J50" s="31"/>
      <c r="K50" s="31" t="e">
        <f t="shared" si="1"/>
        <v>#DIV/0!</v>
      </c>
      <c r="L50" s="34"/>
    </row>
    <row r="51" spans="1:12" s="1" customFormat="1" ht="15.6">
      <c r="A51" s="24" t="s">
        <v>94</v>
      </c>
      <c r="B51" s="23" t="s">
        <v>54</v>
      </c>
      <c r="C51" s="24" t="s">
        <v>214</v>
      </c>
      <c r="D51" s="23" t="s">
        <v>26</v>
      </c>
      <c r="E51" s="31">
        <f>E52</f>
        <v>2023906.26</v>
      </c>
      <c r="F51" s="31">
        <f>F52</f>
        <v>2255282.7400000002</v>
      </c>
      <c r="G51" s="31">
        <f>G52</f>
        <v>2255282.7400000002</v>
      </c>
      <c r="H51" s="31">
        <f t="shared" si="3"/>
        <v>0</v>
      </c>
      <c r="I51" s="32">
        <f t="shared" si="0"/>
        <v>111.43</v>
      </c>
      <c r="J51" s="31"/>
      <c r="K51" s="31">
        <f t="shared" si="1"/>
        <v>100</v>
      </c>
      <c r="L51" s="34"/>
    </row>
    <row r="52" spans="1:12" s="2" customFormat="1" ht="31.2">
      <c r="A52" s="24" t="s">
        <v>120</v>
      </c>
      <c r="B52" s="23" t="s">
        <v>54</v>
      </c>
      <c r="C52" s="24" t="s">
        <v>214</v>
      </c>
      <c r="D52" s="23" t="s">
        <v>121</v>
      </c>
      <c r="E52" s="31">
        <v>2023906.26</v>
      </c>
      <c r="F52" s="31">
        <f>2023906.26+177145.79+53498.03+732.66</f>
        <v>2255282.7400000002</v>
      </c>
      <c r="G52" s="31">
        <f>2023906.26+177145.79+53498.03+732.66</f>
        <v>2255282.7400000002</v>
      </c>
      <c r="H52" s="31">
        <f t="shared" si="3"/>
        <v>0</v>
      </c>
      <c r="I52" s="32">
        <f t="shared" si="0"/>
        <v>111.43</v>
      </c>
      <c r="J52" s="31"/>
      <c r="K52" s="31">
        <f t="shared" si="1"/>
        <v>100</v>
      </c>
      <c r="L52" s="34"/>
    </row>
    <row r="53" spans="1:12" s="2" customFormat="1" ht="15.6">
      <c r="A53" s="24" t="s">
        <v>29</v>
      </c>
      <c r="B53" s="23" t="s">
        <v>64</v>
      </c>
      <c r="C53" s="24" t="s">
        <v>147</v>
      </c>
      <c r="D53" s="23" t="s">
        <v>26</v>
      </c>
      <c r="E53" s="31">
        <f t="shared" ref="E53:G57" si="8">E54</f>
        <v>20998956.600000001</v>
      </c>
      <c r="F53" s="31">
        <f t="shared" si="8"/>
        <v>7870475.6399999997</v>
      </c>
      <c r="G53" s="31">
        <f t="shared" si="8"/>
        <v>0</v>
      </c>
      <c r="H53" s="31">
        <f t="shared" si="3"/>
        <v>7870475.6399999997</v>
      </c>
      <c r="I53" s="32">
        <f t="shared" si="0"/>
        <v>0</v>
      </c>
      <c r="J53" s="31"/>
      <c r="K53" s="31">
        <f t="shared" si="1"/>
        <v>0</v>
      </c>
      <c r="L53" s="34"/>
    </row>
    <row r="54" spans="1:12" s="2" customFormat="1" ht="46.8">
      <c r="A54" s="23" t="s">
        <v>349</v>
      </c>
      <c r="B54" s="23" t="s">
        <v>64</v>
      </c>
      <c r="C54" s="24" t="s">
        <v>148</v>
      </c>
      <c r="D54" s="23" t="s">
        <v>26</v>
      </c>
      <c r="E54" s="31">
        <f t="shared" si="8"/>
        <v>20998956.600000001</v>
      </c>
      <c r="F54" s="31">
        <f t="shared" si="8"/>
        <v>7870475.6399999997</v>
      </c>
      <c r="G54" s="31">
        <f t="shared" si="8"/>
        <v>0</v>
      </c>
      <c r="H54" s="31">
        <f t="shared" si="3"/>
        <v>7870475.6399999997</v>
      </c>
      <c r="I54" s="32">
        <f t="shared" si="0"/>
        <v>0</v>
      </c>
      <c r="J54" s="31"/>
      <c r="K54" s="31">
        <f t="shared" si="1"/>
        <v>0</v>
      </c>
      <c r="L54" s="34"/>
    </row>
    <row r="55" spans="1:12" s="2" customFormat="1" ht="31.2">
      <c r="A55" s="24" t="s">
        <v>347</v>
      </c>
      <c r="B55" s="23" t="s">
        <v>64</v>
      </c>
      <c r="C55" s="24" t="s">
        <v>277</v>
      </c>
      <c r="D55" s="23" t="s">
        <v>26</v>
      </c>
      <c r="E55" s="31">
        <f t="shared" si="8"/>
        <v>20998956.600000001</v>
      </c>
      <c r="F55" s="31">
        <f t="shared" si="8"/>
        <v>7870475.6399999997</v>
      </c>
      <c r="G55" s="31">
        <f t="shared" si="8"/>
        <v>0</v>
      </c>
      <c r="H55" s="31">
        <f t="shared" si="3"/>
        <v>7870475.6399999997</v>
      </c>
      <c r="I55" s="32">
        <f t="shared" si="0"/>
        <v>0</v>
      </c>
      <c r="J55" s="31"/>
      <c r="K55" s="31">
        <f t="shared" si="1"/>
        <v>0</v>
      </c>
      <c r="L55" s="34"/>
    </row>
    <row r="56" spans="1:12" s="2" customFormat="1" ht="15.6">
      <c r="A56" s="24" t="s">
        <v>348</v>
      </c>
      <c r="B56" s="23" t="s">
        <v>64</v>
      </c>
      <c r="C56" s="24" t="s">
        <v>274</v>
      </c>
      <c r="D56" s="23" t="s">
        <v>26</v>
      </c>
      <c r="E56" s="31">
        <f t="shared" si="8"/>
        <v>20998956.600000001</v>
      </c>
      <c r="F56" s="31">
        <f t="shared" si="8"/>
        <v>7870475.6399999997</v>
      </c>
      <c r="G56" s="31">
        <f t="shared" si="8"/>
        <v>0</v>
      </c>
      <c r="H56" s="31">
        <f t="shared" si="3"/>
        <v>7870475.6399999997</v>
      </c>
      <c r="I56" s="32">
        <f t="shared" si="0"/>
        <v>0</v>
      </c>
      <c r="J56" s="31"/>
      <c r="K56" s="31">
        <f t="shared" si="1"/>
        <v>0</v>
      </c>
      <c r="L56" s="31"/>
    </row>
    <row r="57" spans="1:12" s="2" customFormat="1" ht="31.2">
      <c r="A57" s="24" t="s">
        <v>350</v>
      </c>
      <c r="B57" s="23" t="s">
        <v>64</v>
      </c>
      <c r="C57" s="24" t="s">
        <v>215</v>
      </c>
      <c r="D57" s="23" t="s">
        <v>26</v>
      </c>
      <c r="E57" s="34">
        <f t="shared" si="8"/>
        <v>20998956.600000001</v>
      </c>
      <c r="F57" s="34">
        <f t="shared" si="8"/>
        <v>7870475.6399999997</v>
      </c>
      <c r="G57" s="34">
        <f t="shared" si="8"/>
        <v>0</v>
      </c>
      <c r="H57" s="34">
        <f t="shared" si="3"/>
        <v>7870475.6399999997</v>
      </c>
      <c r="I57" s="35">
        <f t="shared" si="0"/>
        <v>0</v>
      </c>
      <c r="J57" s="34"/>
      <c r="K57" s="34">
        <f t="shared" si="1"/>
        <v>0</v>
      </c>
      <c r="L57" s="31"/>
    </row>
    <row r="58" spans="1:12" s="2" customFormat="1" ht="124.8">
      <c r="A58" s="24" t="s">
        <v>80</v>
      </c>
      <c r="B58" s="23" t="s">
        <v>64</v>
      </c>
      <c r="C58" s="24" t="s">
        <v>215</v>
      </c>
      <c r="D58" s="23" t="s">
        <v>81</v>
      </c>
      <c r="E58" s="34">
        <f>20998956.6</f>
        <v>20998956.600000001</v>
      </c>
      <c r="F58" s="34">
        <v>7870475.6399999997</v>
      </c>
      <c r="G58" s="34">
        <v>0</v>
      </c>
      <c r="H58" s="34">
        <f t="shared" si="3"/>
        <v>7870475.6399999997</v>
      </c>
      <c r="I58" s="35">
        <f t="shared" si="0"/>
        <v>0</v>
      </c>
      <c r="J58" s="45" t="s">
        <v>576</v>
      </c>
      <c r="K58" s="34">
        <f t="shared" si="1"/>
        <v>0</v>
      </c>
      <c r="L58" s="34"/>
    </row>
    <row r="59" spans="1:12" s="2" customFormat="1" ht="31.2">
      <c r="A59" s="24" t="s">
        <v>43</v>
      </c>
      <c r="B59" s="23" t="s">
        <v>65</v>
      </c>
      <c r="C59" s="24" t="s">
        <v>147</v>
      </c>
      <c r="D59" s="23" t="s">
        <v>26</v>
      </c>
      <c r="E59" s="31">
        <f>E60+E71+E80+E85</f>
        <v>131155503.59999999</v>
      </c>
      <c r="F59" s="31">
        <f t="shared" ref="F59:G59" si="9">F60+F71+F80+F85</f>
        <v>149460298.40000001</v>
      </c>
      <c r="G59" s="31">
        <f t="shared" si="9"/>
        <v>147738529.91</v>
      </c>
      <c r="H59" s="31">
        <f t="shared" si="3"/>
        <v>1721768.49</v>
      </c>
      <c r="I59" s="32">
        <f t="shared" si="0"/>
        <v>112.64</v>
      </c>
      <c r="J59" s="31"/>
      <c r="K59" s="31">
        <f t="shared" si="1"/>
        <v>98.85</v>
      </c>
      <c r="L59" s="34"/>
    </row>
    <row r="60" spans="1:12" s="2" customFormat="1" ht="46.8">
      <c r="A60" s="33" t="s">
        <v>390</v>
      </c>
      <c r="B60" s="23" t="s">
        <v>65</v>
      </c>
      <c r="C60" s="48" t="s">
        <v>154</v>
      </c>
      <c r="D60" s="23" t="s">
        <v>26</v>
      </c>
      <c r="E60" s="31">
        <f>E61+E65</f>
        <v>1017979</v>
      </c>
      <c r="F60" s="31">
        <f>F61+F65</f>
        <v>2172457.4300000002</v>
      </c>
      <c r="G60" s="31">
        <f>G61+G65</f>
        <v>2145457.4300000002</v>
      </c>
      <c r="H60" s="31">
        <f t="shared" si="3"/>
        <v>27000</v>
      </c>
      <c r="I60" s="32">
        <f t="shared" si="0"/>
        <v>210.76</v>
      </c>
      <c r="J60" s="31"/>
      <c r="K60" s="31">
        <f t="shared" si="1"/>
        <v>98.76</v>
      </c>
      <c r="L60" s="34"/>
    </row>
    <row r="61" spans="1:12" s="2" customFormat="1" ht="31.2">
      <c r="A61" s="33" t="s">
        <v>401</v>
      </c>
      <c r="B61" s="23" t="s">
        <v>65</v>
      </c>
      <c r="C61" s="24" t="s">
        <v>155</v>
      </c>
      <c r="D61" s="23" t="s">
        <v>26</v>
      </c>
      <c r="E61" s="47">
        <f t="shared" ref="E61:G63" si="10">E62</f>
        <v>914479</v>
      </c>
      <c r="F61" s="47">
        <f t="shared" si="10"/>
        <v>2155918.4300000002</v>
      </c>
      <c r="G61" s="47">
        <f t="shared" si="10"/>
        <v>2128918.4300000002</v>
      </c>
      <c r="H61" s="47">
        <f t="shared" si="3"/>
        <v>27000</v>
      </c>
      <c r="I61" s="49">
        <f t="shared" si="0"/>
        <v>232.8</v>
      </c>
      <c r="J61" s="47"/>
      <c r="K61" s="47">
        <f t="shared" si="1"/>
        <v>98.75</v>
      </c>
      <c r="L61" s="31"/>
    </row>
    <row r="62" spans="1:12" s="2" customFormat="1" ht="31.2">
      <c r="A62" s="50" t="s">
        <v>402</v>
      </c>
      <c r="B62" s="23" t="s">
        <v>65</v>
      </c>
      <c r="C62" s="24" t="s">
        <v>403</v>
      </c>
      <c r="D62" s="23" t="s">
        <v>26</v>
      </c>
      <c r="E62" s="34">
        <f t="shared" si="10"/>
        <v>914479</v>
      </c>
      <c r="F62" s="34">
        <f t="shared" si="10"/>
        <v>2155918.4300000002</v>
      </c>
      <c r="G62" s="34">
        <f t="shared" si="10"/>
        <v>2128918.4300000002</v>
      </c>
      <c r="H62" s="34">
        <f t="shared" si="3"/>
        <v>27000</v>
      </c>
      <c r="I62" s="35">
        <f t="shared" si="0"/>
        <v>232.8</v>
      </c>
      <c r="J62" s="34"/>
      <c r="K62" s="34">
        <f t="shared" si="1"/>
        <v>98.75</v>
      </c>
      <c r="L62" s="34"/>
    </row>
    <row r="63" spans="1:12" s="2" customFormat="1" ht="31.2">
      <c r="A63" s="36" t="s">
        <v>404</v>
      </c>
      <c r="B63" s="23" t="s">
        <v>65</v>
      </c>
      <c r="C63" s="24" t="s">
        <v>405</v>
      </c>
      <c r="D63" s="23" t="s">
        <v>26</v>
      </c>
      <c r="E63" s="34">
        <f t="shared" si="10"/>
        <v>914479</v>
      </c>
      <c r="F63" s="34">
        <f t="shared" si="10"/>
        <v>2155918.4300000002</v>
      </c>
      <c r="G63" s="34">
        <f t="shared" si="10"/>
        <v>2128918.4300000002</v>
      </c>
      <c r="H63" s="34">
        <f t="shared" si="3"/>
        <v>27000</v>
      </c>
      <c r="I63" s="35">
        <f t="shared" si="0"/>
        <v>232.8</v>
      </c>
      <c r="J63" s="34"/>
      <c r="K63" s="34">
        <f t="shared" si="1"/>
        <v>98.75</v>
      </c>
      <c r="L63" s="34"/>
    </row>
    <row r="64" spans="1:12" s="2" customFormat="1" ht="31.2">
      <c r="A64" s="36" t="s">
        <v>118</v>
      </c>
      <c r="B64" s="23" t="s">
        <v>65</v>
      </c>
      <c r="C64" s="24" t="s">
        <v>405</v>
      </c>
      <c r="D64" s="23" t="s">
        <v>119</v>
      </c>
      <c r="E64" s="34">
        <f>914479</f>
        <v>914479</v>
      </c>
      <c r="F64" s="34">
        <f>914479+1241500-60.57</f>
        <v>2155918.4300000002</v>
      </c>
      <c r="G64" s="34">
        <v>2128918.4300000002</v>
      </c>
      <c r="H64" s="34">
        <f t="shared" si="3"/>
        <v>27000</v>
      </c>
      <c r="I64" s="35">
        <f t="shared" si="0"/>
        <v>232.8</v>
      </c>
      <c r="J64" s="34"/>
      <c r="K64" s="34">
        <f t="shared" si="1"/>
        <v>98.75</v>
      </c>
      <c r="L64" s="34"/>
    </row>
    <row r="65" spans="1:12" s="2" customFormat="1" ht="15.6">
      <c r="A65" s="50" t="s">
        <v>391</v>
      </c>
      <c r="B65" s="23" t="s">
        <v>65</v>
      </c>
      <c r="C65" s="24" t="s">
        <v>156</v>
      </c>
      <c r="D65" s="23" t="s">
        <v>26</v>
      </c>
      <c r="E65" s="34">
        <f>E66</f>
        <v>103500</v>
      </c>
      <c r="F65" s="34">
        <f>F66</f>
        <v>16539</v>
      </c>
      <c r="G65" s="34">
        <f>G66</f>
        <v>16539</v>
      </c>
      <c r="H65" s="34">
        <f t="shared" si="3"/>
        <v>0</v>
      </c>
      <c r="I65" s="35">
        <f t="shared" si="0"/>
        <v>15.98</v>
      </c>
      <c r="J65" s="34"/>
      <c r="K65" s="34">
        <f t="shared" si="1"/>
        <v>100</v>
      </c>
      <c r="L65" s="31"/>
    </row>
    <row r="66" spans="1:12" s="2" customFormat="1" ht="31.2">
      <c r="A66" s="50" t="s">
        <v>393</v>
      </c>
      <c r="B66" s="23" t="s">
        <v>65</v>
      </c>
      <c r="C66" s="24" t="s">
        <v>392</v>
      </c>
      <c r="D66" s="23" t="s">
        <v>26</v>
      </c>
      <c r="E66" s="34">
        <f>E67+E69</f>
        <v>103500</v>
      </c>
      <c r="F66" s="34">
        <f>F67+F69</f>
        <v>16539</v>
      </c>
      <c r="G66" s="34">
        <f>G67+G69</f>
        <v>16539</v>
      </c>
      <c r="H66" s="34">
        <f t="shared" si="3"/>
        <v>0</v>
      </c>
      <c r="I66" s="35">
        <f t="shared" si="0"/>
        <v>15.98</v>
      </c>
      <c r="J66" s="34"/>
      <c r="K66" s="34">
        <f t="shared" si="1"/>
        <v>100</v>
      </c>
      <c r="L66" s="31"/>
    </row>
    <row r="67" spans="1:12" s="2" customFormat="1" ht="93.6">
      <c r="A67" s="36" t="s">
        <v>409</v>
      </c>
      <c r="B67" s="23" t="s">
        <v>65</v>
      </c>
      <c r="C67" s="24" t="s">
        <v>408</v>
      </c>
      <c r="D67" s="23" t="s">
        <v>26</v>
      </c>
      <c r="E67" s="34">
        <f>E68</f>
        <v>3500</v>
      </c>
      <c r="F67" s="34">
        <f>F68</f>
        <v>0</v>
      </c>
      <c r="G67" s="34">
        <f>G68</f>
        <v>0</v>
      </c>
      <c r="H67" s="34">
        <f t="shared" si="3"/>
        <v>0</v>
      </c>
      <c r="I67" s="35">
        <f t="shared" si="0"/>
        <v>0</v>
      </c>
      <c r="J67" s="34"/>
      <c r="K67" s="34" t="e">
        <f t="shared" si="1"/>
        <v>#DIV/0!</v>
      </c>
      <c r="L67" s="34"/>
    </row>
    <row r="68" spans="1:12" s="2" customFormat="1" ht="31.2">
      <c r="A68" s="36" t="s">
        <v>118</v>
      </c>
      <c r="B68" s="23" t="s">
        <v>65</v>
      </c>
      <c r="C68" s="24" t="s">
        <v>408</v>
      </c>
      <c r="D68" s="23" t="s">
        <v>119</v>
      </c>
      <c r="E68" s="34">
        <f>3500</f>
        <v>3500</v>
      </c>
      <c r="F68" s="34">
        <f>3500-3500</f>
        <v>0</v>
      </c>
      <c r="G68" s="34">
        <f>3500-3500</f>
        <v>0</v>
      </c>
      <c r="H68" s="34">
        <f t="shared" si="3"/>
        <v>0</v>
      </c>
      <c r="I68" s="35">
        <f t="shared" si="0"/>
        <v>0</v>
      </c>
      <c r="J68" s="34"/>
      <c r="K68" s="34" t="e">
        <f t="shared" si="1"/>
        <v>#DIV/0!</v>
      </c>
      <c r="L68" s="34"/>
    </row>
    <row r="69" spans="1:12" s="2" customFormat="1" ht="46.8">
      <c r="A69" s="36" t="s">
        <v>406</v>
      </c>
      <c r="B69" s="23" t="s">
        <v>65</v>
      </c>
      <c r="C69" s="24" t="s">
        <v>407</v>
      </c>
      <c r="D69" s="23" t="s">
        <v>26</v>
      </c>
      <c r="E69" s="34">
        <f>E70</f>
        <v>100000</v>
      </c>
      <c r="F69" s="34">
        <f>F70</f>
        <v>16539</v>
      </c>
      <c r="G69" s="34">
        <f>G70</f>
        <v>16539</v>
      </c>
      <c r="H69" s="34">
        <f t="shared" si="3"/>
        <v>0</v>
      </c>
      <c r="I69" s="35">
        <f t="shared" si="0"/>
        <v>16.54</v>
      </c>
      <c r="J69" s="34"/>
      <c r="K69" s="34">
        <f t="shared" si="1"/>
        <v>100</v>
      </c>
      <c r="L69" s="34"/>
    </row>
    <row r="70" spans="1:12" s="2" customFormat="1" ht="31.2">
      <c r="A70" s="36" t="s">
        <v>118</v>
      </c>
      <c r="B70" s="23" t="s">
        <v>65</v>
      </c>
      <c r="C70" s="24" t="s">
        <v>407</v>
      </c>
      <c r="D70" s="23" t="s">
        <v>119</v>
      </c>
      <c r="E70" s="34">
        <f>100000</f>
        <v>100000</v>
      </c>
      <c r="F70" s="34">
        <f>100000-83461</f>
        <v>16539</v>
      </c>
      <c r="G70" s="34">
        <f>100000-83461</f>
        <v>16539</v>
      </c>
      <c r="H70" s="34">
        <f t="shared" si="3"/>
        <v>0</v>
      </c>
      <c r="I70" s="35">
        <f t="shared" si="0"/>
        <v>16.54</v>
      </c>
      <c r="J70" s="34"/>
      <c r="K70" s="34">
        <f t="shared" si="1"/>
        <v>100</v>
      </c>
      <c r="L70" s="31"/>
    </row>
    <row r="71" spans="1:12" s="1" customFormat="1" ht="46.8">
      <c r="A71" s="51" t="s">
        <v>410</v>
      </c>
      <c r="B71" s="23" t="s">
        <v>65</v>
      </c>
      <c r="C71" s="24" t="s">
        <v>149</v>
      </c>
      <c r="D71" s="23" t="s">
        <v>26</v>
      </c>
      <c r="E71" s="31">
        <f>E72</f>
        <v>164000</v>
      </c>
      <c r="F71" s="31">
        <f>F72</f>
        <v>164000</v>
      </c>
      <c r="G71" s="31">
        <f>G72</f>
        <v>164000</v>
      </c>
      <c r="H71" s="31">
        <f t="shared" si="3"/>
        <v>0</v>
      </c>
      <c r="I71" s="32">
        <f t="shared" si="0"/>
        <v>100</v>
      </c>
      <c r="J71" s="31"/>
      <c r="K71" s="31">
        <f t="shared" si="1"/>
        <v>100</v>
      </c>
      <c r="L71" s="31"/>
    </row>
    <row r="72" spans="1:12" s="1" customFormat="1" ht="78">
      <c r="A72" s="51" t="s">
        <v>411</v>
      </c>
      <c r="B72" s="23" t="s">
        <v>65</v>
      </c>
      <c r="C72" s="24" t="s">
        <v>157</v>
      </c>
      <c r="D72" s="23" t="s">
        <v>26</v>
      </c>
      <c r="E72" s="31">
        <f>E73+E78</f>
        <v>164000</v>
      </c>
      <c r="F72" s="31">
        <f>F73+F78</f>
        <v>164000</v>
      </c>
      <c r="G72" s="31">
        <f>G73+G78</f>
        <v>164000</v>
      </c>
      <c r="H72" s="31">
        <f t="shared" si="3"/>
        <v>0</v>
      </c>
      <c r="I72" s="32">
        <f t="shared" si="0"/>
        <v>100</v>
      </c>
      <c r="J72" s="31"/>
      <c r="K72" s="31">
        <f t="shared" si="1"/>
        <v>100</v>
      </c>
      <c r="L72" s="31"/>
    </row>
    <row r="73" spans="1:12" s="2" customFormat="1" ht="46.8">
      <c r="A73" s="52" t="s">
        <v>412</v>
      </c>
      <c r="B73" s="23" t="s">
        <v>65</v>
      </c>
      <c r="C73" s="53" t="s">
        <v>414</v>
      </c>
      <c r="D73" s="23" t="s">
        <v>26</v>
      </c>
      <c r="E73" s="34">
        <f>E75</f>
        <v>124000</v>
      </c>
      <c r="F73" s="34">
        <f>F75</f>
        <v>124000</v>
      </c>
      <c r="G73" s="34">
        <f>G75</f>
        <v>124000</v>
      </c>
      <c r="H73" s="34">
        <f t="shared" ref="H73:H136" si="11">$F73-$G73</f>
        <v>0</v>
      </c>
      <c r="I73" s="35">
        <f t="shared" ref="I73:I136" si="12">$G73/$E73*100</f>
        <v>100</v>
      </c>
      <c r="J73" s="34"/>
      <c r="K73" s="34">
        <f t="shared" ref="K73:K136" si="13">$G73/$F73*100</f>
        <v>100</v>
      </c>
      <c r="L73" s="31"/>
    </row>
    <row r="74" spans="1:12" s="1" customFormat="1" ht="62.4">
      <c r="A74" s="52" t="s">
        <v>415</v>
      </c>
      <c r="B74" s="23" t="s">
        <v>65</v>
      </c>
      <c r="C74" s="53" t="s">
        <v>413</v>
      </c>
      <c r="D74" s="23" t="s">
        <v>26</v>
      </c>
      <c r="E74" s="34">
        <f>E75</f>
        <v>124000</v>
      </c>
      <c r="F74" s="34">
        <f>F75</f>
        <v>124000</v>
      </c>
      <c r="G74" s="34">
        <f>G75</f>
        <v>124000</v>
      </c>
      <c r="H74" s="34">
        <f t="shared" si="11"/>
        <v>0</v>
      </c>
      <c r="I74" s="35">
        <f t="shared" si="12"/>
        <v>100</v>
      </c>
      <c r="J74" s="34"/>
      <c r="K74" s="34">
        <f t="shared" si="13"/>
        <v>100</v>
      </c>
      <c r="L74" s="34"/>
    </row>
    <row r="75" spans="1:12" s="1" customFormat="1" ht="31.2">
      <c r="A75" s="36" t="s">
        <v>118</v>
      </c>
      <c r="B75" s="23" t="s">
        <v>65</v>
      </c>
      <c r="C75" s="53" t="s">
        <v>413</v>
      </c>
      <c r="D75" s="23" t="s">
        <v>119</v>
      </c>
      <c r="E75" s="34">
        <v>124000</v>
      </c>
      <c r="F75" s="34">
        <v>124000</v>
      </c>
      <c r="G75" s="34">
        <v>124000</v>
      </c>
      <c r="H75" s="34">
        <f t="shared" si="11"/>
        <v>0</v>
      </c>
      <c r="I75" s="35">
        <f t="shared" si="12"/>
        <v>100</v>
      </c>
      <c r="J75" s="34"/>
      <c r="K75" s="34">
        <f t="shared" si="13"/>
        <v>100</v>
      </c>
      <c r="L75" s="34"/>
    </row>
    <row r="76" spans="1:12" s="1" customFormat="1" ht="78">
      <c r="A76" s="51" t="s">
        <v>411</v>
      </c>
      <c r="B76" s="23" t="s">
        <v>65</v>
      </c>
      <c r="C76" s="24" t="s">
        <v>157</v>
      </c>
      <c r="D76" s="23" t="s">
        <v>26</v>
      </c>
      <c r="E76" s="31">
        <f>E78+E87</f>
        <v>130013524.59999999</v>
      </c>
      <c r="F76" s="31">
        <f>F78+F87</f>
        <v>147141430.97</v>
      </c>
      <c r="G76" s="31">
        <f>G78+G87</f>
        <v>145446662.47999999</v>
      </c>
      <c r="H76" s="31">
        <f t="shared" si="11"/>
        <v>1694768.49</v>
      </c>
      <c r="I76" s="32">
        <f t="shared" si="12"/>
        <v>111.87</v>
      </c>
      <c r="J76" s="31"/>
      <c r="K76" s="31">
        <f t="shared" si="13"/>
        <v>98.85</v>
      </c>
      <c r="L76" s="34"/>
    </row>
    <row r="77" spans="1:12" s="1" customFormat="1" ht="62.4">
      <c r="A77" s="52" t="s">
        <v>417</v>
      </c>
      <c r="B77" s="23" t="s">
        <v>65</v>
      </c>
      <c r="C77" s="53" t="s">
        <v>416</v>
      </c>
      <c r="D77" s="23" t="s">
        <v>26</v>
      </c>
      <c r="E77" s="34">
        <f>E79</f>
        <v>40000</v>
      </c>
      <c r="F77" s="34">
        <f>F79</f>
        <v>40000</v>
      </c>
      <c r="G77" s="34">
        <f>G79</f>
        <v>40000</v>
      </c>
      <c r="H77" s="34">
        <f t="shared" si="11"/>
        <v>0</v>
      </c>
      <c r="I77" s="35">
        <f t="shared" si="12"/>
        <v>100</v>
      </c>
      <c r="J77" s="34"/>
      <c r="K77" s="34">
        <f t="shared" si="13"/>
        <v>100</v>
      </c>
      <c r="L77" s="31"/>
    </row>
    <row r="78" spans="1:12" s="1" customFormat="1" ht="31.2">
      <c r="A78" s="52" t="s">
        <v>113</v>
      </c>
      <c r="B78" s="23" t="s">
        <v>65</v>
      </c>
      <c r="C78" s="53" t="s">
        <v>158</v>
      </c>
      <c r="D78" s="23" t="s">
        <v>26</v>
      </c>
      <c r="E78" s="34">
        <f>E79</f>
        <v>40000</v>
      </c>
      <c r="F78" s="34">
        <f>F79</f>
        <v>40000</v>
      </c>
      <c r="G78" s="34">
        <f>G79</f>
        <v>40000</v>
      </c>
      <c r="H78" s="34">
        <f t="shared" si="11"/>
        <v>0</v>
      </c>
      <c r="I78" s="35">
        <f t="shared" si="12"/>
        <v>100</v>
      </c>
      <c r="J78" s="34"/>
      <c r="K78" s="34">
        <f t="shared" si="13"/>
        <v>100</v>
      </c>
      <c r="L78" s="42"/>
    </row>
    <row r="79" spans="1:12" s="1" customFormat="1" ht="31.2">
      <c r="A79" s="36" t="s">
        <v>118</v>
      </c>
      <c r="B79" s="23" t="s">
        <v>65</v>
      </c>
      <c r="C79" s="53" t="s">
        <v>158</v>
      </c>
      <c r="D79" s="23" t="s">
        <v>119</v>
      </c>
      <c r="E79" s="34">
        <v>40000</v>
      </c>
      <c r="F79" s="34">
        <v>40000</v>
      </c>
      <c r="G79" s="34">
        <v>40000</v>
      </c>
      <c r="H79" s="34">
        <f t="shared" si="11"/>
        <v>0</v>
      </c>
      <c r="I79" s="35">
        <f t="shared" si="12"/>
        <v>100</v>
      </c>
      <c r="J79" s="34"/>
      <c r="K79" s="34">
        <f t="shared" si="13"/>
        <v>100</v>
      </c>
      <c r="L79" s="31"/>
    </row>
    <row r="80" spans="1:12" s="1" customFormat="1" ht="46.8">
      <c r="A80" s="51" t="s">
        <v>564</v>
      </c>
      <c r="B80" s="23" t="s">
        <v>65</v>
      </c>
      <c r="C80" s="24" t="s">
        <v>570</v>
      </c>
      <c r="D80" s="23" t="s">
        <v>26</v>
      </c>
      <c r="E80" s="31">
        <f t="shared" ref="E80:G81" si="14">E81</f>
        <v>0</v>
      </c>
      <c r="F80" s="31">
        <f t="shared" si="14"/>
        <v>22410</v>
      </c>
      <c r="G80" s="31">
        <f t="shared" si="14"/>
        <v>22410</v>
      </c>
      <c r="H80" s="31">
        <f t="shared" si="11"/>
        <v>0</v>
      </c>
      <c r="I80" s="32" t="e">
        <f t="shared" si="12"/>
        <v>#DIV/0!</v>
      </c>
      <c r="J80" s="31"/>
      <c r="K80" s="31">
        <f t="shared" si="13"/>
        <v>100</v>
      </c>
      <c r="L80" s="34"/>
    </row>
    <row r="81" spans="1:12" s="1" customFormat="1" ht="46.8">
      <c r="A81" s="51" t="s">
        <v>565</v>
      </c>
      <c r="B81" s="23" t="s">
        <v>65</v>
      </c>
      <c r="C81" s="24" t="s">
        <v>562</v>
      </c>
      <c r="D81" s="23" t="s">
        <v>26</v>
      </c>
      <c r="E81" s="31">
        <f t="shared" si="14"/>
        <v>0</v>
      </c>
      <c r="F81" s="31">
        <f t="shared" si="14"/>
        <v>22410</v>
      </c>
      <c r="G81" s="31">
        <f t="shared" si="14"/>
        <v>22410</v>
      </c>
      <c r="H81" s="31">
        <f t="shared" si="11"/>
        <v>0</v>
      </c>
      <c r="I81" s="32" t="e">
        <f t="shared" si="12"/>
        <v>#DIV/0!</v>
      </c>
      <c r="J81" s="31"/>
      <c r="K81" s="31">
        <f t="shared" si="13"/>
        <v>100</v>
      </c>
      <c r="L81" s="45"/>
    </row>
    <row r="82" spans="1:12" s="1" customFormat="1" ht="124.8">
      <c r="A82" s="52" t="s">
        <v>567</v>
      </c>
      <c r="B82" s="23" t="s">
        <v>65</v>
      </c>
      <c r="C82" s="24" t="s">
        <v>563</v>
      </c>
      <c r="D82" s="23" t="s">
        <v>26</v>
      </c>
      <c r="E82" s="34">
        <f>E84</f>
        <v>0</v>
      </c>
      <c r="F82" s="34">
        <f>F84</f>
        <v>22410</v>
      </c>
      <c r="G82" s="34">
        <f>G84</f>
        <v>22410</v>
      </c>
      <c r="H82" s="34">
        <f t="shared" si="11"/>
        <v>0</v>
      </c>
      <c r="I82" s="35" t="e">
        <f t="shared" si="12"/>
        <v>#DIV/0!</v>
      </c>
      <c r="J82" s="34"/>
      <c r="K82" s="34">
        <f t="shared" si="13"/>
        <v>100</v>
      </c>
      <c r="L82" s="45" t="s">
        <v>575</v>
      </c>
    </row>
    <row r="83" spans="1:12" s="2" customFormat="1" ht="62.4">
      <c r="A83" s="52" t="s">
        <v>566</v>
      </c>
      <c r="B83" s="23" t="s">
        <v>65</v>
      </c>
      <c r="C83" s="24" t="s">
        <v>561</v>
      </c>
      <c r="D83" s="23" t="s">
        <v>26</v>
      </c>
      <c r="E83" s="34">
        <f>E84</f>
        <v>0</v>
      </c>
      <c r="F83" s="34">
        <f>F84</f>
        <v>22410</v>
      </c>
      <c r="G83" s="34">
        <f>G84</f>
        <v>22410</v>
      </c>
      <c r="H83" s="34">
        <f t="shared" si="11"/>
        <v>0</v>
      </c>
      <c r="I83" s="35" t="e">
        <f t="shared" si="12"/>
        <v>#DIV/0!</v>
      </c>
      <c r="J83" s="34"/>
      <c r="K83" s="34">
        <f t="shared" si="13"/>
        <v>100</v>
      </c>
      <c r="L83" s="31"/>
    </row>
    <row r="84" spans="1:12" s="2" customFormat="1" ht="31.2">
      <c r="A84" s="36" t="s">
        <v>118</v>
      </c>
      <c r="B84" s="23" t="s">
        <v>65</v>
      </c>
      <c r="C84" s="24" t="s">
        <v>561</v>
      </c>
      <c r="D84" s="23" t="s">
        <v>119</v>
      </c>
      <c r="E84" s="34">
        <v>0</v>
      </c>
      <c r="F84" s="34">
        <v>22410</v>
      </c>
      <c r="G84" s="34">
        <v>22410</v>
      </c>
      <c r="H84" s="34">
        <f t="shared" si="11"/>
        <v>0</v>
      </c>
      <c r="I84" s="35" t="e">
        <f t="shared" si="12"/>
        <v>#DIV/0!</v>
      </c>
      <c r="J84" s="34"/>
      <c r="K84" s="34">
        <f t="shared" si="13"/>
        <v>100</v>
      </c>
      <c r="L84" s="31"/>
    </row>
    <row r="85" spans="1:12" s="2" customFormat="1" ht="46.8">
      <c r="A85" s="23" t="s">
        <v>349</v>
      </c>
      <c r="B85" s="23" t="s">
        <v>65</v>
      </c>
      <c r="C85" s="24" t="s">
        <v>148</v>
      </c>
      <c r="D85" s="23" t="s">
        <v>26</v>
      </c>
      <c r="E85" s="31">
        <f t="shared" ref="E85:G86" si="15">E86</f>
        <v>129973524.59999999</v>
      </c>
      <c r="F85" s="31">
        <f t="shared" si="15"/>
        <v>147101430.97</v>
      </c>
      <c r="G85" s="31">
        <f t="shared" si="15"/>
        <v>145406662.47999999</v>
      </c>
      <c r="H85" s="31">
        <f t="shared" si="11"/>
        <v>1694768.49</v>
      </c>
      <c r="I85" s="32">
        <f t="shared" si="12"/>
        <v>111.87</v>
      </c>
      <c r="J85" s="31"/>
      <c r="K85" s="31">
        <f t="shared" si="13"/>
        <v>98.85</v>
      </c>
      <c r="L85" s="31"/>
    </row>
    <row r="86" spans="1:12" s="2" customFormat="1" ht="31.2">
      <c r="A86" s="24" t="s">
        <v>347</v>
      </c>
      <c r="B86" s="23" t="s">
        <v>65</v>
      </c>
      <c r="C86" s="24" t="s">
        <v>277</v>
      </c>
      <c r="D86" s="23" t="s">
        <v>26</v>
      </c>
      <c r="E86" s="31">
        <f t="shared" si="15"/>
        <v>129973524.59999999</v>
      </c>
      <c r="F86" s="31">
        <f t="shared" si="15"/>
        <v>147101430.97</v>
      </c>
      <c r="G86" s="31">
        <f t="shared" si="15"/>
        <v>145406662.47999999</v>
      </c>
      <c r="H86" s="31">
        <f t="shared" si="11"/>
        <v>1694768.49</v>
      </c>
      <c r="I86" s="32">
        <f t="shared" si="12"/>
        <v>111.87</v>
      </c>
      <c r="J86" s="31"/>
      <c r="K86" s="31">
        <f t="shared" si="13"/>
        <v>98.85</v>
      </c>
      <c r="L86" s="31"/>
    </row>
    <row r="87" spans="1:12" s="2" customFormat="1" ht="15.6">
      <c r="A87" s="24" t="s">
        <v>348</v>
      </c>
      <c r="B87" s="23" t="s">
        <v>65</v>
      </c>
      <c r="C87" s="24" t="s">
        <v>274</v>
      </c>
      <c r="D87" s="23" t="s">
        <v>26</v>
      </c>
      <c r="E87" s="31">
        <f>E92+E95+E98+E101+E88+E104+E106+E109+E90+E112+E114</f>
        <v>129973524.59999999</v>
      </c>
      <c r="F87" s="31">
        <f t="shared" ref="F87:G87" si="16">F92+F95+F98+F101+F88+F104+F106+F109+F90+F112+F114</f>
        <v>147101430.97</v>
      </c>
      <c r="G87" s="31">
        <f t="shared" si="16"/>
        <v>145406662.47999999</v>
      </c>
      <c r="H87" s="31">
        <f t="shared" si="11"/>
        <v>1694768.49</v>
      </c>
      <c r="I87" s="32">
        <f t="shared" si="12"/>
        <v>111.87</v>
      </c>
      <c r="J87" s="31"/>
      <c r="K87" s="31">
        <f t="shared" si="13"/>
        <v>98.85</v>
      </c>
      <c r="L87" s="31"/>
    </row>
    <row r="88" spans="1:12" s="2" customFormat="1" ht="31.2">
      <c r="A88" s="24" t="s">
        <v>79</v>
      </c>
      <c r="B88" s="23" t="s">
        <v>65</v>
      </c>
      <c r="C88" s="24" t="s">
        <v>216</v>
      </c>
      <c r="D88" s="54" t="s">
        <v>26</v>
      </c>
      <c r="E88" s="31">
        <f>E89</f>
        <v>100000</v>
      </c>
      <c r="F88" s="31">
        <f>F89</f>
        <v>544621.6</v>
      </c>
      <c r="G88" s="31">
        <f>G89</f>
        <v>494627.52</v>
      </c>
      <c r="H88" s="31">
        <f t="shared" si="11"/>
        <v>49994.080000000002</v>
      </c>
      <c r="I88" s="32">
        <f t="shared" si="12"/>
        <v>494.63</v>
      </c>
      <c r="J88" s="31"/>
      <c r="K88" s="31">
        <f t="shared" si="13"/>
        <v>90.82</v>
      </c>
      <c r="L88" s="31"/>
    </row>
    <row r="89" spans="1:12" s="1" customFormat="1" ht="15.6">
      <c r="A89" s="24" t="s">
        <v>123</v>
      </c>
      <c r="B89" s="23" t="s">
        <v>65</v>
      </c>
      <c r="C89" s="24" t="s">
        <v>216</v>
      </c>
      <c r="D89" s="54" t="s">
        <v>124</v>
      </c>
      <c r="E89" s="34">
        <f>100000</f>
        <v>100000</v>
      </c>
      <c r="F89" s="34">
        <f>100000+68828.92+57092.68+262700+56000</f>
        <v>544621.6</v>
      </c>
      <c r="G89" s="34">
        <v>494627.52</v>
      </c>
      <c r="H89" s="34">
        <f t="shared" si="11"/>
        <v>49994.080000000002</v>
      </c>
      <c r="I89" s="35">
        <f t="shared" si="12"/>
        <v>494.63</v>
      </c>
      <c r="J89" s="34"/>
      <c r="K89" s="34">
        <f t="shared" si="13"/>
        <v>90.82</v>
      </c>
      <c r="L89" s="34"/>
    </row>
    <row r="90" spans="1:12" s="1" customFormat="1" ht="46.8">
      <c r="A90" s="36" t="s">
        <v>477</v>
      </c>
      <c r="B90" s="23" t="s">
        <v>65</v>
      </c>
      <c r="C90" s="24" t="s">
        <v>503</v>
      </c>
      <c r="D90" s="54" t="s">
        <v>26</v>
      </c>
      <c r="E90" s="34">
        <f>E91</f>
        <v>150000</v>
      </c>
      <c r="F90" s="34">
        <f>F91</f>
        <v>750000</v>
      </c>
      <c r="G90" s="34">
        <f>G91</f>
        <v>728504.35</v>
      </c>
      <c r="H90" s="34">
        <f t="shared" si="11"/>
        <v>21495.65</v>
      </c>
      <c r="I90" s="35">
        <f t="shared" si="12"/>
        <v>485.67</v>
      </c>
      <c r="J90" s="34"/>
      <c r="K90" s="34">
        <f t="shared" si="13"/>
        <v>97.13</v>
      </c>
      <c r="L90" s="34"/>
    </row>
    <row r="91" spans="1:12" s="2" customFormat="1" ht="31.2">
      <c r="A91" s="36" t="s">
        <v>118</v>
      </c>
      <c r="B91" s="23" t="s">
        <v>65</v>
      </c>
      <c r="C91" s="24" t="s">
        <v>503</v>
      </c>
      <c r="D91" s="54" t="s">
        <v>119</v>
      </c>
      <c r="E91" s="34">
        <f>150000</f>
        <v>150000</v>
      </c>
      <c r="F91" s="34">
        <f>150000+300000+300000</f>
        <v>750000</v>
      </c>
      <c r="G91" s="34">
        <v>728504.35</v>
      </c>
      <c r="H91" s="34">
        <f t="shared" si="11"/>
        <v>21495.65</v>
      </c>
      <c r="I91" s="35">
        <f t="shared" si="12"/>
        <v>485.67</v>
      </c>
      <c r="J91" s="34"/>
      <c r="K91" s="34">
        <f t="shared" si="13"/>
        <v>97.13</v>
      </c>
      <c r="L91" s="34"/>
    </row>
    <row r="92" spans="1:12" s="2" customFormat="1" ht="62.4">
      <c r="A92" s="33" t="s">
        <v>272</v>
      </c>
      <c r="B92" s="23" t="s">
        <v>65</v>
      </c>
      <c r="C92" s="55" t="s">
        <v>353</v>
      </c>
      <c r="D92" s="23" t="s">
        <v>26</v>
      </c>
      <c r="E92" s="31">
        <f>E93+E94</f>
        <v>2607156</v>
      </c>
      <c r="F92" s="31">
        <f>F93+F94</f>
        <v>2582883</v>
      </c>
      <c r="G92" s="31">
        <f>G93+G94</f>
        <v>2582883</v>
      </c>
      <c r="H92" s="31">
        <f t="shared" si="11"/>
        <v>0</v>
      </c>
      <c r="I92" s="32">
        <f t="shared" si="12"/>
        <v>99.07</v>
      </c>
      <c r="J92" s="31"/>
      <c r="K92" s="31">
        <f t="shared" si="13"/>
        <v>100</v>
      </c>
      <c r="L92" s="31"/>
    </row>
    <row r="93" spans="1:12" s="2" customFormat="1" ht="124.8">
      <c r="A93" s="24" t="s">
        <v>120</v>
      </c>
      <c r="B93" s="23" t="s">
        <v>65</v>
      </c>
      <c r="C93" s="55" t="s">
        <v>353</v>
      </c>
      <c r="D93" s="23" t="s">
        <v>121</v>
      </c>
      <c r="E93" s="42">
        <f>2412156</f>
        <v>2412156</v>
      </c>
      <c r="F93" s="42">
        <v>2471710</v>
      </c>
      <c r="G93" s="42">
        <v>2471710</v>
      </c>
      <c r="H93" s="42">
        <f t="shared" si="11"/>
        <v>0</v>
      </c>
      <c r="I93" s="44">
        <f t="shared" si="12"/>
        <v>102.47</v>
      </c>
      <c r="J93" s="42"/>
      <c r="K93" s="42">
        <f t="shared" si="13"/>
        <v>100</v>
      </c>
      <c r="L93" s="45" t="s">
        <v>575</v>
      </c>
    </row>
    <row r="94" spans="1:12" s="2" customFormat="1" ht="124.8">
      <c r="A94" s="36" t="s">
        <v>118</v>
      </c>
      <c r="B94" s="23" t="s">
        <v>65</v>
      </c>
      <c r="C94" s="55" t="s">
        <v>353</v>
      </c>
      <c r="D94" s="23" t="s">
        <v>119</v>
      </c>
      <c r="E94" s="31">
        <f>195000</f>
        <v>195000</v>
      </c>
      <c r="F94" s="31">
        <f>195000-24273-59554</f>
        <v>111173</v>
      </c>
      <c r="G94" s="31">
        <f>195000-24273-59554</f>
        <v>111173</v>
      </c>
      <c r="H94" s="31">
        <f t="shared" si="11"/>
        <v>0</v>
      </c>
      <c r="I94" s="32">
        <f t="shared" si="12"/>
        <v>57.01</v>
      </c>
      <c r="J94" s="42" t="s">
        <v>575</v>
      </c>
      <c r="K94" s="31">
        <f t="shared" si="13"/>
        <v>100</v>
      </c>
      <c r="L94" s="34"/>
    </row>
    <row r="95" spans="1:12" s="2" customFormat="1" ht="62.4">
      <c r="A95" s="51" t="s">
        <v>97</v>
      </c>
      <c r="B95" s="33" t="s">
        <v>65</v>
      </c>
      <c r="C95" s="56" t="s">
        <v>275</v>
      </c>
      <c r="D95" s="33" t="s">
        <v>26</v>
      </c>
      <c r="E95" s="34">
        <f>E96+E97</f>
        <v>1219473</v>
      </c>
      <c r="F95" s="34">
        <f>F96+F97</f>
        <v>1208033</v>
      </c>
      <c r="G95" s="34">
        <f>G96+G97</f>
        <v>1208033</v>
      </c>
      <c r="H95" s="34">
        <f t="shared" si="11"/>
        <v>0</v>
      </c>
      <c r="I95" s="35">
        <f t="shared" si="12"/>
        <v>99.06</v>
      </c>
      <c r="J95" s="34"/>
      <c r="K95" s="34">
        <f t="shared" si="13"/>
        <v>100</v>
      </c>
      <c r="L95" s="45"/>
    </row>
    <row r="96" spans="1:12" s="2" customFormat="1" ht="124.8">
      <c r="A96" s="51" t="s">
        <v>120</v>
      </c>
      <c r="B96" s="33" t="s">
        <v>65</v>
      </c>
      <c r="C96" s="56" t="s">
        <v>275</v>
      </c>
      <c r="D96" s="33" t="s">
        <v>121</v>
      </c>
      <c r="E96" s="45">
        <f>1119473</f>
        <v>1119473</v>
      </c>
      <c r="F96" s="45">
        <f>1119473+67976.67+20583.33</f>
        <v>1208033</v>
      </c>
      <c r="G96" s="45">
        <f>1119473+67976.67+20583.33</f>
        <v>1208033</v>
      </c>
      <c r="H96" s="45">
        <f t="shared" si="11"/>
        <v>0</v>
      </c>
      <c r="I96" s="57">
        <f t="shared" si="12"/>
        <v>107.91</v>
      </c>
      <c r="J96" s="45" t="s">
        <v>575</v>
      </c>
      <c r="K96" s="45">
        <f t="shared" si="13"/>
        <v>100</v>
      </c>
      <c r="L96" s="45"/>
    </row>
    <row r="97" spans="1:12" s="2" customFormat="1" ht="124.8">
      <c r="A97" s="58" t="s">
        <v>118</v>
      </c>
      <c r="B97" s="33" t="s">
        <v>65</v>
      </c>
      <c r="C97" s="56" t="s">
        <v>275</v>
      </c>
      <c r="D97" s="33" t="s">
        <v>119</v>
      </c>
      <c r="E97" s="34">
        <f>100000</f>
        <v>100000</v>
      </c>
      <c r="F97" s="34">
        <f>100000-11440-88560</f>
        <v>0</v>
      </c>
      <c r="G97" s="34">
        <f>100000-11440-88560</f>
        <v>0</v>
      </c>
      <c r="H97" s="34">
        <f t="shared" si="11"/>
        <v>0</v>
      </c>
      <c r="I97" s="35">
        <f t="shared" si="12"/>
        <v>0</v>
      </c>
      <c r="J97" s="45" t="s">
        <v>575</v>
      </c>
      <c r="K97" s="34" t="e">
        <f t="shared" si="13"/>
        <v>#DIV/0!</v>
      </c>
      <c r="L97" s="34"/>
    </row>
    <row r="98" spans="1:12" s="2" customFormat="1" ht="46.8">
      <c r="A98" s="24" t="s">
        <v>96</v>
      </c>
      <c r="B98" s="23" t="s">
        <v>65</v>
      </c>
      <c r="C98" s="24" t="s">
        <v>515</v>
      </c>
      <c r="D98" s="23" t="s">
        <v>26</v>
      </c>
      <c r="E98" s="59">
        <f>E99+E100</f>
        <v>1751461</v>
      </c>
      <c r="F98" s="59">
        <f>F99+F100</f>
        <v>1723746</v>
      </c>
      <c r="G98" s="59">
        <f>G99+G100</f>
        <v>1723746</v>
      </c>
      <c r="H98" s="59">
        <f t="shared" si="11"/>
        <v>0</v>
      </c>
      <c r="I98" s="60">
        <f t="shared" si="12"/>
        <v>98.42</v>
      </c>
      <c r="J98" s="31"/>
      <c r="K98" s="31">
        <f t="shared" si="13"/>
        <v>100</v>
      </c>
      <c r="L98" s="45"/>
    </row>
    <row r="99" spans="1:12" s="2" customFormat="1" ht="31.2">
      <c r="A99" s="24" t="s">
        <v>120</v>
      </c>
      <c r="B99" s="23" t="s">
        <v>65</v>
      </c>
      <c r="C99" s="24" t="s">
        <v>515</v>
      </c>
      <c r="D99" s="23" t="s">
        <v>121</v>
      </c>
      <c r="E99" s="31">
        <f>1668835</f>
        <v>1668835</v>
      </c>
      <c r="F99" s="31">
        <f>1668835+35337</f>
        <v>1704172</v>
      </c>
      <c r="G99" s="31">
        <f>1668835+35337</f>
        <v>1704172</v>
      </c>
      <c r="H99" s="31">
        <f t="shared" si="11"/>
        <v>0</v>
      </c>
      <c r="I99" s="32">
        <f t="shared" si="12"/>
        <v>102.12</v>
      </c>
      <c r="J99" s="31"/>
      <c r="K99" s="31">
        <f t="shared" si="13"/>
        <v>100</v>
      </c>
      <c r="L99" s="61"/>
    </row>
    <row r="100" spans="1:12" s="2" customFormat="1" ht="124.8">
      <c r="A100" s="36" t="s">
        <v>118</v>
      </c>
      <c r="B100" s="23" t="s">
        <v>65</v>
      </c>
      <c r="C100" s="24" t="s">
        <v>515</v>
      </c>
      <c r="D100" s="23" t="s">
        <v>119</v>
      </c>
      <c r="E100" s="31">
        <f>82626</f>
        <v>82626</v>
      </c>
      <c r="F100" s="31">
        <f>82626-27715-35337</f>
        <v>19574</v>
      </c>
      <c r="G100" s="31">
        <f>82626-27715-35337</f>
        <v>19574</v>
      </c>
      <c r="H100" s="31">
        <f t="shared" si="11"/>
        <v>0</v>
      </c>
      <c r="I100" s="32">
        <f t="shared" si="12"/>
        <v>23.69</v>
      </c>
      <c r="J100" s="42" t="s">
        <v>575</v>
      </c>
      <c r="K100" s="31">
        <f t="shared" si="13"/>
        <v>100</v>
      </c>
      <c r="L100" s="61"/>
    </row>
    <row r="101" spans="1:12" s="2" customFormat="1" ht="46.8">
      <c r="A101" s="24" t="s">
        <v>98</v>
      </c>
      <c r="B101" s="23" t="s">
        <v>65</v>
      </c>
      <c r="C101" s="24" t="s">
        <v>516</v>
      </c>
      <c r="D101" s="23" t="s">
        <v>26</v>
      </c>
      <c r="E101" s="31">
        <f>E102+E103</f>
        <v>1190768</v>
      </c>
      <c r="F101" s="31">
        <f>F102+F103</f>
        <v>1190768</v>
      </c>
      <c r="G101" s="31">
        <f>G102+G103</f>
        <v>1190768</v>
      </c>
      <c r="H101" s="31">
        <f t="shared" si="11"/>
        <v>0</v>
      </c>
      <c r="I101" s="32">
        <f t="shared" si="12"/>
        <v>100</v>
      </c>
      <c r="J101" s="31"/>
      <c r="K101" s="31">
        <f t="shared" si="13"/>
        <v>100</v>
      </c>
      <c r="L101" s="61"/>
    </row>
    <row r="102" spans="1:12" s="2" customFormat="1" ht="31.2">
      <c r="A102" s="24" t="s">
        <v>120</v>
      </c>
      <c r="B102" s="23" t="s">
        <v>65</v>
      </c>
      <c r="C102" s="24" t="s">
        <v>516</v>
      </c>
      <c r="D102" s="23" t="s">
        <v>121</v>
      </c>
      <c r="E102" s="31">
        <v>1128358</v>
      </c>
      <c r="F102" s="31">
        <v>1128358</v>
      </c>
      <c r="G102" s="31">
        <v>1128358</v>
      </c>
      <c r="H102" s="31">
        <f t="shared" si="11"/>
        <v>0</v>
      </c>
      <c r="I102" s="32">
        <f t="shared" si="12"/>
        <v>100</v>
      </c>
      <c r="J102" s="31"/>
      <c r="K102" s="31">
        <f t="shared" si="13"/>
        <v>100</v>
      </c>
      <c r="L102" s="61"/>
    </row>
    <row r="103" spans="1:12" s="2" customFormat="1" ht="31.2">
      <c r="A103" s="36" t="s">
        <v>118</v>
      </c>
      <c r="B103" s="23" t="s">
        <v>65</v>
      </c>
      <c r="C103" s="24" t="s">
        <v>516</v>
      </c>
      <c r="D103" s="23" t="s">
        <v>119</v>
      </c>
      <c r="E103" s="31">
        <v>62410</v>
      </c>
      <c r="F103" s="31">
        <v>62410</v>
      </c>
      <c r="G103" s="31">
        <v>62410</v>
      </c>
      <c r="H103" s="31">
        <f t="shared" si="11"/>
        <v>0</v>
      </c>
      <c r="I103" s="32">
        <f t="shared" si="12"/>
        <v>100</v>
      </c>
      <c r="J103" s="31"/>
      <c r="K103" s="31">
        <f t="shared" si="13"/>
        <v>100</v>
      </c>
      <c r="L103" s="61"/>
    </row>
    <row r="104" spans="1:12" s="2" customFormat="1" ht="46.8">
      <c r="A104" s="36" t="s">
        <v>99</v>
      </c>
      <c r="B104" s="23" t="s">
        <v>65</v>
      </c>
      <c r="C104" s="24" t="s">
        <v>217</v>
      </c>
      <c r="D104" s="54" t="s">
        <v>26</v>
      </c>
      <c r="E104" s="34">
        <f>E105</f>
        <v>3500000</v>
      </c>
      <c r="F104" s="34">
        <f>F105</f>
        <v>2185980.96</v>
      </c>
      <c r="G104" s="34">
        <f>G105</f>
        <v>2185980.96</v>
      </c>
      <c r="H104" s="34">
        <f t="shared" si="11"/>
        <v>0</v>
      </c>
      <c r="I104" s="35">
        <f t="shared" si="12"/>
        <v>62.46</v>
      </c>
      <c r="J104" s="34"/>
      <c r="K104" s="34">
        <f t="shared" si="13"/>
        <v>100</v>
      </c>
      <c r="L104" s="61"/>
    </row>
    <row r="105" spans="1:12" s="2" customFormat="1" ht="31.2">
      <c r="A105" s="36" t="s">
        <v>118</v>
      </c>
      <c r="B105" s="23" t="s">
        <v>65</v>
      </c>
      <c r="C105" s="24" t="s">
        <v>217</v>
      </c>
      <c r="D105" s="54" t="s">
        <v>119</v>
      </c>
      <c r="E105" s="34">
        <f>3500000</f>
        <v>3500000</v>
      </c>
      <c r="F105" s="34">
        <f>3500000-1314019.04</f>
        <v>2185980.96</v>
      </c>
      <c r="G105" s="34">
        <f>3500000-1314019.04</f>
        <v>2185980.96</v>
      </c>
      <c r="H105" s="34">
        <f t="shared" si="11"/>
        <v>0</v>
      </c>
      <c r="I105" s="35">
        <f t="shared" si="12"/>
        <v>62.46</v>
      </c>
      <c r="J105" s="34"/>
      <c r="K105" s="34">
        <f t="shared" si="13"/>
        <v>100</v>
      </c>
      <c r="L105" s="45"/>
    </row>
    <row r="106" spans="1:12" s="2" customFormat="1" ht="109.2">
      <c r="A106" s="62" t="s">
        <v>491</v>
      </c>
      <c r="B106" s="23" t="s">
        <v>65</v>
      </c>
      <c r="C106" s="24" t="s">
        <v>177</v>
      </c>
      <c r="D106" s="23" t="s">
        <v>26</v>
      </c>
      <c r="E106" s="34">
        <f>E107+E108</f>
        <v>1121405</v>
      </c>
      <c r="F106" s="34">
        <f>F107+F108</f>
        <v>1085733</v>
      </c>
      <c r="G106" s="34">
        <f>G107+G108</f>
        <v>1085733</v>
      </c>
      <c r="H106" s="34">
        <f t="shared" si="11"/>
        <v>0</v>
      </c>
      <c r="I106" s="35">
        <f t="shared" si="12"/>
        <v>96.82</v>
      </c>
      <c r="J106" s="34"/>
      <c r="K106" s="34">
        <f t="shared" si="13"/>
        <v>100</v>
      </c>
      <c r="L106" s="45"/>
    </row>
    <row r="107" spans="1:12" s="2" customFormat="1" ht="31.2">
      <c r="A107" s="24" t="s">
        <v>120</v>
      </c>
      <c r="B107" s="23" t="s">
        <v>65</v>
      </c>
      <c r="C107" s="24" t="s">
        <v>177</v>
      </c>
      <c r="D107" s="23" t="s">
        <v>121</v>
      </c>
      <c r="E107" s="31">
        <f>1036945</f>
        <v>1036945</v>
      </c>
      <c r="F107" s="31">
        <f>1036945+48788</f>
        <v>1085733</v>
      </c>
      <c r="G107" s="31">
        <f>1036945+48788</f>
        <v>1085733</v>
      </c>
      <c r="H107" s="31">
        <f t="shared" si="11"/>
        <v>0</v>
      </c>
      <c r="I107" s="32">
        <f t="shared" si="12"/>
        <v>104.7</v>
      </c>
      <c r="J107" s="31"/>
      <c r="K107" s="31">
        <f t="shared" si="13"/>
        <v>100</v>
      </c>
      <c r="L107" s="63"/>
    </row>
    <row r="108" spans="1:12" s="2" customFormat="1" ht="124.8">
      <c r="A108" s="36" t="s">
        <v>118</v>
      </c>
      <c r="B108" s="23" t="s">
        <v>65</v>
      </c>
      <c r="C108" s="24" t="s">
        <v>177</v>
      </c>
      <c r="D108" s="54" t="s">
        <v>119</v>
      </c>
      <c r="E108" s="34">
        <f>84460</f>
        <v>84460</v>
      </c>
      <c r="F108" s="34">
        <f>84460-35672-48788</f>
        <v>0</v>
      </c>
      <c r="G108" s="34">
        <f>84460-35672-48788</f>
        <v>0</v>
      </c>
      <c r="H108" s="34">
        <f t="shared" si="11"/>
        <v>0</v>
      </c>
      <c r="I108" s="35">
        <f t="shared" si="12"/>
        <v>0</v>
      </c>
      <c r="J108" s="45" t="s">
        <v>575</v>
      </c>
      <c r="K108" s="34" t="e">
        <f t="shared" si="13"/>
        <v>#DIV/0!</v>
      </c>
      <c r="L108" s="42"/>
    </row>
    <row r="109" spans="1:12" s="2" customFormat="1" ht="62.4">
      <c r="A109" s="51" t="s">
        <v>469</v>
      </c>
      <c r="B109" s="23" t="s">
        <v>65</v>
      </c>
      <c r="C109" s="23" t="s">
        <v>237</v>
      </c>
      <c r="D109" s="23" t="s">
        <v>26</v>
      </c>
      <c r="E109" s="34">
        <f>E110+E111</f>
        <v>336933</v>
      </c>
      <c r="F109" s="34">
        <f>F110+F111</f>
        <v>569098</v>
      </c>
      <c r="G109" s="34">
        <f>G110+G111</f>
        <v>569098</v>
      </c>
      <c r="H109" s="34">
        <f t="shared" si="11"/>
        <v>0</v>
      </c>
      <c r="I109" s="35">
        <f t="shared" si="12"/>
        <v>168.91</v>
      </c>
      <c r="J109" s="34"/>
      <c r="K109" s="34">
        <f t="shared" si="13"/>
        <v>100</v>
      </c>
      <c r="L109" s="31"/>
    </row>
    <row r="110" spans="1:12" s="2" customFormat="1" ht="31.2">
      <c r="A110" s="24" t="s">
        <v>120</v>
      </c>
      <c r="B110" s="23" t="s">
        <v>65</v>
      </c>
      <c r="C110" s="23" t="s">
        <v>237</v>
      </c>
      <c r="D110" s="23" t="s">
        <v>121</v>
      </c>
      <c r="E110" s="45">
        <f>336933</f>
        <v>336933</v>
      </c>
      <c r="F110" s="45">
        <f>336933-3011+235176-300000+72579</f>
        <v>341677</v>
      </c>
      <c r="G110" s="45">
        <f>336933-3011+235176-300000+72579</f>
        <v>341677</v>
      </c>
      <c r="H110" s="45">
        <f t="shared" si="11"/>
        <v>0</v>
      </c>
      <c r="I110" s="57">
        <f t="shared" si="12"/>
        <v>101.41</v>
      </c>
      <c r="J110" s="45"/>
      <c r="K110" s="45">
        <f t="shared" si="13"/>
        <v>100</v>
      </c>
      <c r="L110" s="31"/>
    </row>
    <row r="111" spans="1:12" s="2" customFormat="1" ht="124.8">
      <c r="A111" s="24" t="s">
        <v>118</v>
      </c>
      <c r="B111" s="23" t="s">
        <v>65</v>
      </c>
      <c r="C111" s="23" t="s">
        <v>237</v>
      </c>
      <c r="D111" s="23" t="s">
        <v>119</v>
      </c>
      <c r="E111" s="45">
        <f>0</f>
        <v>0</v>
      </c>
      <c r="F111" s="45">
        <f>0+300000-72579</f>
        <v>227421</v>
      </c>
      <c r="G111" s="45">
        <f>0+300000-72579</f>
        <v>227421</v>
      </c>
      <c r="H111" s="45">
        <f t="shared" si="11"/>
        <v>0</v>
      </c>
      <c r="I111" s="57" t="e">
        <f t="shared" si="12"/>
        <v>#DIV/0!</v>
      </c>
      <c r="J111" s="45" t="s">
        <v>575</v>
      </c>
      <c r="K111" s="45">
        <f t="shared" si="13"/>
        <v>100</v>
      </c>
      <c r="L111" s="31"/>
    </row>
    <row r="112" spans="1:12" s="2" customFormat="1" ht="62.4">
      <c r="A112" s="51" t="s">
        <v>553</v>
      </c>
      <c r="B112" s="23" t="s">
        <v>65</v>
      </c>
      <c r="C112" s="23" t="s">
        <v>552</v>
      </c>
      <c r="D112" s="23" t="s">
        <v>26</v>
      </c>
      <c r="E112" s="34">
        <f>E113</f>
        <v>0</v>
      </c>
      <c r="F112" s="34">
        <f>F113</f>
        <v>5942973</v>
      </c>
      <c r="G112" s="34">
        <f>G113</f>
        <v>5942973</v>
      </c>
      <c r="H112" s="34">
        <f t="shared" si="11"/>
        <v>0</v>
      </c>
      <c r="I112" s="35" t="e">
        <f t="shared" si="12"/>
        <v>#DIV/0!</v>
      </c>
      <c r="J112" s="34"/>
      <c r="K112" s="34">
        <f t="shared" si="13"/>
        <v>100</v>
      </c>
      <c r="L112" s="47"/>
    </row>
    <row r="113" spans="1:12" s="2" customFormat="1" ht="124.8">
      <c r="A113" s="24" t="s">
        <v>118</v>
      </c>
      <c r="B113" s="23" t="s">
        <v>65</v>
      </c>
      <c r="C113" s="23" t="s">
        <v>552</v>
      </c>
      <c r="D113" s="23" t="s">
        <v>119</v>
      </c>
      <c r="E113" s="45">
        <v>0</v>
      </c>
      <c r="F113" s="45">
        <f>5942973</f>
        <v>5942973</v>
      </c>
      <c r="G113" s="45">
        <f>5942973</f>
        <v>5942973</v>
      </c>
      <c r="H113" s="45">
        <f t="shared" si="11"/>
        <v>0</v>
      </c>
      <c r="I113" s="57" t="e">
        <f t="shared" si="12"/>
        <v>#DIV/0!</v>
      </c>
      <c r="J113" s="45" t="s">
        <v>575</v>
      </c>
      <c r="K113" s="45">
        <f t="shared" si="13"/>
        <v>100</v>
      </c>
      <c r="L113" s="31"/>
    </row>
    <row r="114" spans="1:12" s="1" customFormat="1" ht="46.8">
      <c r="A114" s="24" t="s">
        <v>112</v>
      </c>
      <c r="B114" s="23" t="s">
        <v>65</v>
      </c>
      <c r="C114" s="24" t="s">
        <v>218</v>
      </c>
      <c r="D114" s="23" t="s">
        <v>26</v>
      </c>
      <c r="E114" s="31">
        <f>E115+E116+E117+E118</f>
        <v>117996328.59999999</v>
      </c>
      <c r="F114" s="31">
        <f>F115+F116+F117+F118</f>
        <v>129317594.41</v>
      </c>
      <c r="G114" s="31">
        <f>G115+G116+G117+G118</f>
        <v>127694315.65000001</v>
      </c>
      <c r="H114" s="31">
        <f t="shared" si="11"/>
        <v>1623278.76</v>
      </c>
      <c r="I114" s="32">
        <f t="shared" si="12"/>
        <v>108.22</v>
      </c>
      <c r="J114" s="31"/>
      <c r="K114" s="31">
        <f t="shared" si="13"/>
        <v>98.74</v>
      </c>
      <c r="L114" s="45"/>
    </row>
    <row r="115" spans="1:12" s="2" customFormat="1" ht="15.6">
      <c r="A115" s="36" t="s">
        <v>133</v>
      </c>
      <c r="B115" s="23" t="s">
        <v>65</v>
      </c>
      <c r="C115" s="24" t="s">
        <v>218</v>
      </c>
      <c r="D115" s="23" t="s">
        <v>134</v>
      </c>
      <c r="E115" s="34">
        <f>81110616</f>
        <v>81110616</v>
      </c>
      <c r="F115" s="34">
        <f>81110616+1437385.3+4852425.86+5014290.17+2682452.99-1670322</f>
        <v>93426848.319999993</v>
      </c>
      <c r="G115" s="34">
        <v>93426841.420000002</v>
      </c>
      <c r="H115" s="34">
        <f t="shared" si="11"/>
        <v>6.9</v>
      </c>
      <c r="I115" s="35">
        <f t="shared" si="12"/>
        <v>115.18</v>
      </c>
      <c r="J115" s="34"/>
      <c r="K115" s="34">
        <f t="shared" si="13"/>
        <v>100</v>
      </c>
      <c r="L115" s="29"/>
    </row>
    <row r="116" spans="1:12" s="2" customFormat="1" ht="31.2">
      <c r="A116" s="36" t="s">
        <v>118</v>
      </c>
      <c r="B116" s="23" t="s">
        <v>65</v>
      </c>
      <c r="C116" s="24" t="s">
        <v>218</v>
      </c>
      <c r="D116" s="23" t="s">
        <v>119</v>
      </c>
      <c r="E116" s="34">
        <f>36150746.6</f>
        <v>36150746.600000001</v>
      </c>
      <c r="F116" s="34">
        <v>35665646.859999999</v>
      </c>
      <c r="G116" s="34">
        <v>34042375</v>
      </c>
      <c r="H116" s="34">
        <f t="shared" si="11"/>
        <v>1623271.86</v>
      </c>
      <c r="I116" s="35">
        <f t="shared" si="12"/>
        <v>94.17</v>
      </c>
      <c r="J116" s="34"/>
      <c r="K116" s="34">
        <f t="shared" si="13"/>
        <v>95.45</v>
      </c>
      <c r="L116" s="31"/>
    </row>
    <row r="117" spans="1:12" s="2" customFormat="1" ht="15.6">
      <c r="A117" s="64" t="s">
        <v>184</v>
      </c>
      <c r="B117" s="23" t="s">
        <v>65</v>
      </c>
      <c r="C117" s="24" t="s">
        <v>218</v>
      </c>
      <c r="D117" s="23" t="s">
        <v>124</v>
      </c>
      <c r="E117" s="34">
        <f>89840</f>
        <v>89840</v>
      </c>
      <c r="F117" s="34">
        <v>16196.55</v>
      </c>
      <c r="G117" s="34">
        <v>16196.55</v>
      </c>
      <c r="H117" s="34">
        <f t="shared" si="11"/>
        <v>0</v>
      </c>
      <c r="I117" s="35">
        <f t="shared" si="12"/>
        <v>18.03</v>
      </c>
      <c r="J117" s="34"/>
      <c r="K117" s="34">
        <f t="shared" si="13"/>
        <v>100</v>
      </c>
      <c r="L117" s="34"/>
    </row>
    <row r="118" spans="1:12" s="2" customFormat="1" ht="15.6">
      <c r="A118" s="36" t="s">
        <v>122</v>
      </c>
      <c r="B118" s="23" t="s">
        <v>65</v>
      </c>
      <c r="C118" s="24" t="s">
        <v>218</v>
      </c>
      <c r="D118" s="23" t="s">
        <v>135</v>
      </c>
      <c r="E118" s="34">
        <f>645126</f>
        <v>645126</v>
      </c>
      <c r="F118" s="34">
        <v>208902.68</v>
      </c>
      <c r="G118" s="34">
        <v>208902.68</v>
      </c>
      <c r="H118" s="34">
        <f t="shared" si="11"/>
        <v>0</v>
      </c>
      <c r="I118" s="35">
        <f t="shared" si="12"/>
        <v>32.380000000000003</v>
      </c>
      <c r="J118" s="34"/>
      <c r="K118" s="34">
        <f t="shared" si="13"/>
        <v>100</v>
      </c>
      <c r="L118" s="34"/>
    </row>
    <row r="119" spans="1:12" s="2" customFormat="1" ht="15.6">
      <c r="A119" s="65" t="s">
        <v>76</v>
      </c>
      <c r="B119" s="27" t="s">
        <v>77</v>
      </c>
      <c r="C119" s="27" t="s">
        <v>147</v>
      </c>
      <c r="D119" s="27" t="s">
        <v>26</v>
      </c>
      <c r="E119" s="61">
        <f>E120</f>
        <v>2932332</v>
      </c>
      <c r="F119" s="61">
        <f>F120</f>
        <v>2395032</v>
      </c>
      <c r="G119" s="61">
        <f>G120</f>
        <v>2395032</v>
      </c>
      <c r="H119" s="61">
        <f t="shared" si="11"/>
        <v>0</v>
      </c>
      <c r="I119" s="66">
        <f t="shared" si="12"/>
        <v>81.680000000000007</v>
      </c>
      <c r="J119" s="61"/>
      <c r="K119" s="61">
        <f t="shared" si="13"/>
        <v>100</v>
      </c>
      <c r="L119" s="34"/>
    </row>
    <row r="120" spans="1:12" s="2" customFormat="1" ht="15.6">
      <c r="A120" s="67" t="s">
        <v>103</v>
      </c>
      <c r="B120" s="33" t="s">
        <v>78</v>
      </c>
      <c r="C120" s="33" t="s">
        <v>147</v>
      </c>
      <c r="D120" s="33" t="s">
        <v>26</v>
      </c>
      <c r="E120" s="61">
        <f>E122</f>
        <v>2932332</v>
      </c>
      <c r="F120" s="61">
        <f>F122</f>
        <v>2395032</v>
      </c>
      <c r="G120" s="61">
        <f>G122</f>
        <v>2395032</v>
      </c>
      <c r="H120" s="61">
        <f t="shared" si="11"/>
        <v>0</v>
      </c>
      <c r="I120" s="66">
        <f t="shared" si="12"/>
        <v>81.680000000000007</v>
      </c>
      <c r="J120" s="61"/>
      <c r="K120" s="61">
        <f t="shared" si="13"/>
        <v>100</v>
      </c>
      <c r="L120" s="34"/>
    </row>
    <row r="121" spans="1:12" s="2" customFormat="1" ht="46.8">
      <c r="A121" s="23" t="s">
        <v>349</v>
      </c>
      <c r="B121" s="33" t="s">
        <v>78</v>
      </c>
      <c r="C121" s="33" t="s">
        <v>148</v>
      </c>
      <c r="D121" s="33" t="s">
        <v>26</v>
      </c>
      <c r="E121" s="61">
        <f t="shared" ref="E121:G123" si="17">E122</f>
        <v>2932332</v>
      </c>
      <c r="F121" s="61">
        <f t="shared" si="17"/>
        <v>2395032</v>
      </c>
      <c r="G121" s="61">
        <f t="shared" si="17"/>
        <v>2395032</v>
      </c>
      <c r="H121" s="61">
        <f t="shared" si="11"/>
        <v>0</v>
      </c>
      <c r="I121" s="66">
        <f t="shared" si="12"/>
        <v>81.680000000000007</v>
      </c>
      <c r="J121" s="61"/>
      <c r="K121" s="61">
        <f t="shared" si="13"/>
        <v>100</v>
      </c>
      <c r="L121" s="45"/>
    </row>
    <row r="122" spans="1:12" s="2" customFormat="1" ht="31.2">
      <c r="A122" s="24" t="s">
        <v>347</v>
      </c>
      <c r="B122" s="33" t="s">
        <v>78</v>
      </c>
      <c r="C122" s="33" t="s">
        <v>277</v>
      </c>
      <c r="D122" s="33" t="s">
        <v>26</v>
      </c>
      <c r="E122" s="61">
        <f t="shared" si="17"/>
        <v>2932332</v>
      </c>
      <c r="F122" s="61">
        <f t="shared" si="17"/>
        <v>2395032</v>
      </c>
      <c r="G122" s="61">
        <f t="shared" si="17"/>
        <v>2395032</v>
      </c>
      <c r="H122" s="61">
        <f t="shared" si="11"/>
        <v>0</v>
      </c>
      <c r="I122" s="66">
        <f t="shared" si="12"/>
        <v>81.680000000000007</v>
      </c>
      <c r="J122" s="61"/>
      <c r="K122" s="61">
        <f t="shared" si="13"/>
        <v>100</v>
      </c>
      <c r="L122" s="34"/>
    </row>
    <row r="123" spans="1:12" s="2" customFormat="1" ht="15.6">
      <c r="A123" s="24" t="s">
        <v>348</v>
      </c>
      <c r="B123" s="33" t="s">
        <v>78</v>
      </c>
      <c r="C123" s="33" t="s">
        <v>274</v>
      </c>
      <c r="D123" s="33" t="s">
        <v>26</v>
      </c>
      <c r="E123" s="61">
        <f t="shared" si="17"/>
        <v>2932332</v>
      </c>
      <c r="F123" s="61">
        <f t="shared" si="17"/>
        <v>2395032</v>
      </c>
      <c r="G123" s="61">
        <f t="shared" si="17"/>
        <v>2395032</v>
      </c>
      <c r="H123" s="61">
        <f t="shared" si="11"/>
        <v>0</v>
      </c>
      <c r="I123" s="66">
        <f t="shared" si="12"/>
        <v>81.680000000000007</v>
      </c>
      <c r="J123" s="61"/>
      <c r="K123" s="61">
        <f t="shared" si="13"/>
        <v>100</v>
      </c>
      <c r="L123" s="34"/>
    </row>
    <row r="124" spans="1:12" s="2" customFormat="1" ht="62.4">
      <c r="A124" s="51" t="s">
        <v>95</v>
      </c>
      <c r="B124" s="23" t="s">
        <v>78</v>
      </c>
      <c r="C124" s="23" t="s">
        <v>276</v>
      </c>
      <c r="D124" s="23" t="s">
        <v>26</v>
      </c>
      <c r="E124" s="61">
        <f>E125+E126</f>
        <v>2932332</v>
      </c>
      <c r="F124" s="61">
        <f>F125+F126</f>
        <v>2395032</v>
      </c>
      <c r="G124" s="61">
        <f>G125+G126</f>
        <v>2395032</v>
      </c>
      <c r="H124" s="61">
        <f t="shared" si="11"/>
        <v>0</v>
      </c>
      <c r="I124" s="66">
        <f t="shared" si="12"/>
        <v>81.680000000000007</v>
      </c>
      <c r="J124" s="61"/>
      <c r="K124" s="61">
        <f t="shared" si="13"/>
        <v>100</v>
      </c>
      <c r="L124" s="34"/>
    </row>
    <row r="125" spans="1:12" s="1" customFormat="1" ht="124.8">
      <c r="A125" s="24" t="s">
        <v>120</v>
      </c>
      <c r="B125" s="23" t="s">
        <v>78</v>
      </c>
      <c r="C125" s="23" t="s">
        <v>276</v>
      </c>
      <c r="D125" s="23" t="s">
        <v>121</v>
      </c>
      <c r="E125" s="45">
        <f>2932332</f>
        <v>2932332</v>
      </c>
      <c r="F125" s="45">
        <v>2340718</v>
      </c>
      <c r="G125" s="45">
        <v>2340718</v>
      </c>
      <c r="H125" s="45">
        <f t="shared" si="11"/>
        <v>0</v>
      </c>
      <c r="I125" s="57">
        <f t="shared" si="12"/>
        <v>79.819999999999993</v>
      </c>
      <c r="J125" s="45" t="s">
        <v>575</v>
      </c>
      <c r="K125" s="45">
        <f t="shared" si="13"/>
        <v>100</v>
      </c>
      <c r="L125" s="34"/>
    </row>
    <row r="126" spans="1:12" s="1" customFormat="1" ht="124.8">
      <c r="A126" s="24" t="s">
        <v>118</v>
      </c>
      <c r="B126" s="23" t="s">
        <v>78</v>
      </c>
      <c r="C126" s="23" t="s">
        <v>276</v>
      </c>
      <c r="D126" s="23" t="s">
        <v>119</v>
      </c>
      <c r="E126" s="45">
        <f>0</f>
        <v>0</v>
      </c>
      <c r="F126" s="45">
        <v>54314</v>
      </c>
      <c r="G126" s="45">
        <v>54314</v>
      </c>
      <c r="H126" s="45">
        <f t="shared" si="11"/>
        <v>0</v>
      </c>
      <c r="I126" s="57" t="e">
        <f t="shared" si="12"/>
        <v>#DIV/0!</v>
      </c>
      <c r="J126" s="45" t="s">
        <v>575</v>
      </c>
      <c r="K126" s="45">
        <f t="shared" si="13"/>
        <v>100</v>
      </c>
      <c r="L126" s="45"/>
    </row>
    <row r="127" spans="1:12" s="2" customFormat="1" ht="31.2">
      <c r="A127" s="68" t="s">
        <v>180</v>
      </c>
      <c r="B127" s="27" t="s">
        <v>181</v>
      </c>
      <c r="C127" s="27" t="s">
        <v>182</v>
      </c>
      <c r="D127" s="27" t="s">
        <v>26</v>
      </c>
      <c r="E127" s="63">
        <f>E128</f>
        <v>1000000</v>
      </c>
      <c r="F127" s="63">
        <f>F128</f>
        <v>10693636.49</v>
      </c>
      <c r="G127" s="63">
        <f>G128</f>
        <v>10263970.300000001</v>
      </c>
      <c r="H127" s="63">
        <f t="shared" si="11"/>
        <v>429666.19</v>
      </c>
      <c r="I127" s="69">
        <f t="shared" si="12"/>
        <v>1026.4000000000001</v>
      </c>
      <c r="J127" s="63"/>
      <c r="K127" s="63">
        <f t="shared" si="13"/>
        <v>95.98</v>
      </c>
      <c r="L127" s="34"/>
    </row>
    <row r="128" spans="1:12" s="2" customFormat="1" ht="124.8">
      <c r="A128" s="51" t="s">
        <v>400</v>
      </c>
      <c r="B128" s="23" t="s">
        <v>398</v>
      </c>
      <c r="C128" s="23" t="s">
        <v>182</v>
      </c>
      <c r="D128" s="23" t="s">
        <v>26</v>
      </c>
      <c r="E128" s="70">
        <f>E129+E136</f>
        <v>1000000</v>
      </c>
      <c r="F128" s="70">
        <f>F129+F136</f>
        <v>10693636.49</v>
      </c>
      <c r="G128" s="70">
        <f>G129+G136</f>
        <v>10263970.300000001</v>
      </c>
      <c r="H128" s="70">
        <f t="shared" si="11"/>
        <v>429666.19</v>
      </c>
      <c r="I128" s="71">
        <f t="shared" si="12"/>
        <v>1026.4000000000001</v>
      </c>
      <c r="J128" s="42"/>
      <c r="K128" s="42">
        <f t="shared" si="13"/>
        <v>95.98</v>
      </c>
      <c r="L128" s="45" t="s">
        <v>575</v>
      </c>
    </row>
    <row r="129" spans="1:12" s="2" customFormat="1" ht="78">
      <c r="A129" s="72" t="s">
        <v>355</v>
      </c>
      <c r="B129" s="23" t="s">
        <v>398</v>
      </c>
      <c r="C129" s="24" t="s">
        <v>151</v>
      </c>
      <c r="D129" s="23" t="s">
        <v>26</v>
      </c>
      <c r="E129" s="31">
        <f>E130</f>
        <v>1000000</v>
      </c>
      <c r="F129" s="31">
        <f>F130</f>
        <v>10689636.49</v>
      </c>
      <c r="G129" s="31">
        <f>G130</f>
        <v>10259970.300000001</v>
      </c>
      <c r="H129" s="31">
        <f t="shared" si="11"/>
        <v>429666.19</v>
      </c>
      <c r="I129" s="32">
        <f t="shared" si="12"/>
        <v>1026</v>
      </c>
      <c r="J129" s="31"/>
      <c r="K129" s="31">
        <f t="shared" si="13"/>
        <v>95.98</v>
      </c>
      <c r="L129" s="34"/>
    </row>
    <row r="130" spans="1:12" s="2" customFormat="1" ht="46.8">
      <c r="A130" s="72" t="s">
        <v>152</v>
      </c>
      <c r="B130" s="23" t="s">
        <v>398</v>
      </c>
      <c r="C130" s="24" t="s">
        <v>153</v>
      </c>
      <c r="D130" s="23" t="s">
        <v>26</v>
      </c>
      <c r="E130" s="31">
        <f>E131+E133</f>
        <v>1000000</v>
      </c>
      <c r="F130" s="31">
        <f>F131+F133</f>
        <v>10689636.49</v>
      </c>
      <c r="G130" s="31">
        <f>G131+G133</f>
        <v>10259970.300000001</v>
      </c>
      <c r="H130" s="31">
        <f t="shared" si="11"/>
        <v>429666.19</v>
      </c>
      <c r="I130" s="32">
        <f t="shared" si="12"/>
        <v>1026</v>
      </c>
      <c r="J130" s="31"/>
      <c r="K130" s="31">
        <f t="shared" si="13"/>
        <v>95.98</v>
      </c>
      <c r="L130" s="31"/>
    </row>
    <row r="131" spans="1:12" s="2" customFormat="1" ht="46.8">
      <c r="A131" s="24" t="s">
        <v>486</v>
      </c>
      <c r="B131" s="23" t="s">
        <v>398</v>
      </c>
      <c r="C131" s="24" t="s">
        <v>354</v>
      </c>
      <c r="D131" s="23" t="s">
        <v>26</v>
      </c>
      <c r="E131" s="31">
        <f>E132</f>
        <v>500000</v>
      </c>
      <c r="F131" s="31">
        <f>F132</f>
        <v>599810</v>
      </c>
      <c r="G131" s="31">
        <f>G132</f>
        <v>457684</v>
      </c>
      <c r="H131" s="31">
        <f t="shared" si="11"/>
        <v>142126</v>
      </c>
      <c r="I131" s="32">
        <f t="shared" si="12"/>
        <v>91.54</v>
      </c>
      <c r="J131" s="31"/>
      <c r="K131" s="31">
        <f t="shared" si="13"/>
        <v>76.3</v>
      </c>
      <c r="L131" s="31"/>
    </row>
    <row r="132" spans="1:12" s="2" customFormat="1" ht="31.2">
      <c r="A132" s="36" t="s">
        <v>118</v>
      </c>
      <c r="B132" s="23" t="s">
        <v>398</v>
      </c>
      <c r="C132" s="24" t="s">
        <v>354</v>
      </c>
      <c r="D132" s="23" t="s">
        <v>119</v>
      </c>
      <c r="E132" s="47">
        <f>500000</f>
        <v>500000</v>
      </c>
      <c r="F132" s="47">
        <f>500000+999810-900000</f>
        <v>599810</v>
      </c>
      <c r="G132" s="47">
        <v>457684</v>
      </c>
      <c r="H132" s="47">
        <f t="shared" si="11"/>
        <v>142126</v>
      </c>
      <c r="I132" s="49">
        <f t="shared" si="12"/>
        <v>91.54</v>
      </c>
      <c r="J132" s="47"/>
      <c r="K132" s="47">
        <f t="shared" si="13"/>
        <v>76.3</v>
      </c>
      <c r="L132" s="31"/>
    </row>
    <row r="133" spans="1:12" s="2" customFormat="1" ht="31.2">
      <c r="A133" s="24" t="s">
        <v>399</v>
      </c>
      <c r="B133" s="23" t="s">
        <v>398</v>
      </c>
      <c r="C133" s="24" t="s">
        <v>502</v>
      </c>
      <c r="D133" s="23" t="s">
        <v>26</v>
      </c>
      <c r="E133" s="31">
        <f>E134+E135</f>
        <v>500000</v>
      </c>
      <c r="F133" s="31">
        <f>F134+F135</f>
        <v>10089826.49</v>
      </c>
      <c r="G133" s="31">
        <f>G134+G135</f>
        <v>9802286.3000000007</v>
      </c>
      <c r="H133" s="31">
        <f t="shared" si="11"/>
        <v>287540.19</v>
      </c>
      <c r="I133" s="32">
        <f t="shared" si="12"/>
        <v>1960.46</v>
      </c>
      <c r="J133" s="31"/>
      <c r="K133" s="31">
        <f t="shared" si="13"/>
        <v>97.15</v>
      </c>
      <c r="L133" s="47"/>
    </row>
    <row r="134" spans="1:12" s="2" customFormat="1" ht="31.2">
      <c r="A134" s="36" t="s">
        <v>118</v>
      </c>
      <c r="B134" s="23" t="s">
        <v>398</v>
      </c>
      <c r="C134" s="24" t="s">
        <v>502</v>
      </c>
      <c r="D134" s="23" t="s">
        <v>119</v>
      </c>
      <c r="E134" s="34">
        <f>500000</f>
        <v>500000</v>
      </c>
      <c r="F134" s="34">
        <f>500000+2222291.49+5597208+150000+1020327-400000</f>
        <v>9089826.4900000002</v>
      </c>
      <c r="G134" s="34">
        <v>8802286.3000000007</v>
      </c>
      <c r="H134" s="34">
        <f t="shared" si="11"/>
        <v>287540.19</v>
      </c>
      <c r="I134" s="35">
        <f t="shared" si="12"/>
        <v>1760.46</v>
      </c>
      <c r="J134" s="34"/>
      <c r="K134" s="34">
        <f t="shared" si="13"/>
        <v>96.84</v>
      </c>
      <c r="L134" s="34"/>
    </row>
    <row r="135" spans="1:12" s="2" customFormat="1" ht="62.4">
      <c r="A135" s="36" t="s">
        <v>242</v>
      </c>
      <c r="B135" s="23" t="s">
        <v>398</v>
      </c>
      <c r="C135" s="24" t="s">
        <v>502</v>
      </c>
      <c r="D135" s="23" t="s">
        <v>109</v>
      </c>
      <c r="E135" s="34">
        <v>0</v>
      </c>
      <c r="F135" s="34">
        <f>500000+600000-100000</f>
        <v>1000000</v>
      </c>
      <c r="G135" s="34">
        <f>500000+600000-100000</f>
        <v>1000000</v>
      </c>
      <c r="H135" s="34">
        <f t="shared" si="11"/>
        <v>0</v>
      </c>
      <c r="I135" s="35" t="e">
        <f t="shared" si="12"/>
        <v>#DIV/0!</v>
      </c>
      <c r="J135" s="34"/>
      <c r="K135" s="34">
        <f t="shared" si="13"/>
        <v>100</v>
      </c>
      <c r="L135" s="34"/>
    </row>
    <row r="136" spans="1:12" s="2" customFormat="1" ht="46.8">
      <c r="A136" s="23" t="s">
        <v>349</v>
      </c>
      <c r="B136" s="33" t="s">
        <v>398</v>
      </c>
      <c r="C136" s="33" t="s">
        <v>148</v>
      </c>
      <c r="D136" s="33" t="s">
        <v>26</v>
      </c>
      <c r="E136" s="34">
        <f t="shared" ref="E136:G139" si="18">E137</f>
        <v>0</v>
      </c>
      <c r="F136" s="34">
        <f t="shared" si="18"/>
        <v>4000</v>
      </c>
      <c r="G136" s="34">
        <f t="shared" si="18"/>
        <v>4000</v>
      </c>
      <c r="H136" s="34">
        <f t="shared" si="11"/>
        <v>0</v>
      </c>
      <c r="I136" s="35" t="e">
        <f t="shared" si="12"/>
        <v>#DIV/0!</v>
      </c>
      <c r="J136" s="34"/>
      <c r="K136" s="34">
        <f t="shared" si="13"/>
        <v>100</v>
      </c>
      <c r="L136" s="34"/>
    </row>
    <row r="137" spans="1:12" s="1" customFormat="1" ht="31.2">
      <c r="A137" s="24" t="s">
        <v>347</v>
      </c>
      <c r="B137" s="33" t="s">
        <v>398</v>
      </c>
      <c r="C137" s="33" t="s">
        <v>277</v>
      </c>
      <c r="D137" s="33" t="s">
        <v>26</v>
      </c>
      <c r="E137" s="34">
        <f t="shared" si="18"/>
        <v>0</v>
      </c>
      <c r="F137" s="34">
        <f t="shared" si="18"/>
        <v>4000</v>
      </c>
      <c r="G137" s="34">
        <f t="shared" si="18"/>
        <v>4000</v>
      </c>
      <c r="H137" s="34">
        <f t="shared" ref="H137:H200" si="19">$F137-$G137</f>
        <v>0</v>
      </c>
      <c r="I137" s="35" t="e">
        <f t="shared" ref="I137:I200" si="20">$G137/$E137*100</f>
        <v>#DIV/0!</v>
      </c>
      <c r="J137" s="34"/>
      <c r="K137" s="34">
        <f t="shared" ref="K137:K200" si="21">$G137/$F137*100</f>
        <v>100</v>
      </c>
      <c r="L137" s="34"/>
    </row>
    <row r="138" spans="1:12" s="1" customFormat="1" ht="15.6">
      <c r="A138" s="24" t="s">
        <v>348</v>
      </c>
      <c r="B138" s="33" t="s">
        <v>398</v>
      </c>
      <c r="C138" s="33" t="s">
        <v>274</v>
      </c>
      <c r="D138" s="33" t="s">
        <v>26</v>
      </c>
      <c r="E138" s="34">
        <f t="shared" si="18"/>
        <v>0</v>
      </c>
      <c r="F138" s="34">
        <f t="shared" si="18"/>
        <v>4000</v>
      </c>
      <c r="G138" s="34">
        <f t="shared" si="18"/>
        <v>4000</v>
      </c>
      <c r="H138" s="34">
        <f t="shared" si="19"/>
        <v>0</v>
      </c>
      <c r="I138" s="35" t="e">
        <f t="shared" si="20"/>
        <v>#DIV/0!</v>
      </c>
      <c r="J138" s="34"/>
      <c r="K138" s="34">
        <f t="shared" si="21"/>
        <v>100</v>
      </c>
      <c r="L138" s="45"/>
    </row>
    <row r="139" spans="1:12" s="2" customFormat="1" ht="31.2">
      <c r="A139" s="52" t="s">
        <v>350</v>
      </c>
      <c r="B139" s="33" t="s">
        <v>398</v>
      </c>
      <c r="C139" s="24" t="s">
        <v>215</v>
      </c>
      <c r="D139" s="54" t="s">
        <v>26</v>
      </c>
      <c r="E139" s="34">
        <f t="shared" si="18"/>
        <v>0</v>
      </c>
      <c r="F139" s="34">
        <f t="shared" si="18"/>
        <v>4000</v>
      </c>
      <c r="G139" s="34">
        <f t="shared" si="18"/>
        <v>4000</v>
      </c>
      <c r="H139" s="34">
        <f t="shared" si="19"/>
        <v>0</v>
      </c>
      <c r="I139" s="35" t="e">
        <f t="shared" si="20"/>
        <v>#DIV/0!</v>
      </c>
      <c r="J139" s="34"/>
      <c r="K139" s="34">
        <f t="shared" si="21"/>
        <v>100</v>
      </c>
      <c r="L139" s="34"/>
    </row>
    <row r="140" spans="1:12" s="2" customFormat="1" ht="124.8">
      <c r="A140" s="36" t="s">
        <v>118</v>
      </c>
      <c r="B140" s="33" t="s">
        <v>398</v>
      </c>
      <c r="C140" s="24" t="s">
        <v>215</v>
      </c>
      <c r="D140" s="54" t="s">
        <v>119</v>
      </c>
      <c r="E140" s="34">
        <v>0</v>
      </c>
      <c r="F140" s="34">
        <v>4000</v>
      </c>
      <c r="G140" s="34">
        <v>4000</v>
      </c>
      <c r="H140" s="34">
        <f t="shared" si="19"/>
        <v>0</v>
      </c>
      <c r="I140" s="35" t="e">
        <f t="shared" si="20"/>
        <v>#DIV/0!</v>
      </c>
      <c r="J140" s="45" t="s">
        <v>576</v>
      </c>
      <c r="K140" s="34">
        <f t="shared" si="21"/>
        <v>100</v>
      </c>
      <c r="L140" s="34"/>
    </row>
    <row r="141" spans="1:12" s="2" customFormat="1" ht="15.6">
      <c r="A141" s="65" t="s">
        <v>55</v>
      </c>
      <c r="B141" s="27" t="s">
        <v>56</v>
      </c>
      <c r="C141" s="65" t="s">
        <v>147</v>
      </c>
      <c r="D141" s="27" t="s">
        <v>26</v>
      </c>
      <c r="E141" s="29">
        <f>E165+E178+E142+E198+E155</f>
        <v>161916253.03999999</v>
      </c>
      <c r="F141" s="29">
        <f>F165+F178+F142+F198+F155</f>
        <v>167557214.25999999</v>
      </c>
      <c r="G141" s="29">
        <f>G165+G178+G142+G198+G155</f>
        <v>160696639.44</v>
      </c>
      <c r="H141" s="29">
        <f t="shared" si="19"/>
        <v>6860574.8200000003</v>
      </c>
      <c r="I141" s="30">
        <f t="shared" si="20"/>
        <v>99.25</v>
      </c>
      <c r="J141" s="29"/>
      <c r="K141" s="29">
        <f t="shared" si="21"/>
        <v>95.91</v>
      </c>
      <c r="L141" s="31"/>
    </row>
    <row r="142" spans="1:12" s="2" customFormat="1" ht="15.6">
      <c r="A142" s="24" t="s">
        <v>172</v>
      </c>
      <c r="B142" s="23" t="s">
        <v>173</v>
      </c>
      <c r="C142" s="24" t="s">
        <v>147</v>
      </c>
      <c r="D142" s="23" t="s">
        <v>26</v>
      </c>
      <c r="E142" s="31">
        <f>E143+E148</f>
        <v>2102922.6800000002</v>
      </c>
      <c r="F142" s="31">
        <f>F143+F148</f>
        <v>4453016.21</v>
      </c>
      <c r="G142" s="31">
        <f>G143+G148</f>
        <v>4119025.15</v>
      </c>
      <c r="H142" s="31">
        <f t="shared" si="19"/>
        <v>333991.06</v>
      </c>
      <c r="I142" s="32">
        <f t="shared" si="20"/>
        <v>195.87</v>
      </c>
      <c r="J142" s="31"/>
      <c r="K142" s="31">
        <f t="shared" si="21"/>
        <v>92.5</v>
      </c>
      <c r="L142" s="31"/>
    </row>
    <row r="143" spans="1:12" s="2" customFormat="1" ht="62.4">
      <c r="A143" s="23" t="s">
        <v>539</v>
      </c>
      <c r="B143" s="33" t="s">
        <v>173</v>
      </c>
      <c r="C143" s="33" t="s">
        <v>538</v>
      </c>
      <c r="D143" s="33" t="s">
        <v>26</v>
      </c>
      <c r="E143" s="34">
        <f t="shared" ref="E143:G146" si="22">E144</f>
        <v>0</v>
      </c>
      <c r="F143" s="34">
        <f t="shared" si="22"/>
        <v>553565.48</v>
      </c>
      <c r="G143" s="34">
        <f t="shared" si="22"/>
        <v>553565</v>
      </c>
      <c r="H143" s="34">
        <f t="shared" si="19"/>
        <v>0.48</v>
      </c>
      <c r="I143" s="35" t="e">
        <f t="shared" si="20"/>
        <v>#DIV/0!</v>
      </c>
      <c r="J143" s="34"/>
      <c r="K143" s="34">
        <f t="shared" si="21"/>
        <v>100</v>
      </c>
      <c r="L143" s="34"/>
    </row>
    <row r="144" spans="1:12" s="2" customFormat="1" ht="46.8">
      <c r="A144" s="24" t="s">
        <v>541</v>
      </c>
      <c r="B144" s="33" t="s">
        <v>173</v>
      </c>
      <c r="C144" s="33" t="s">
        <v>543</v>
      </c>
      <c r="D144" s="33" t="s">
        <v>26</v>
      </c>
      <c r="E144" s="73">
        <f t="shared" si="22"/>
        <v>0</v>
      </c>
      <c r="F144" s="73">
        <f t="shared" si="22"/>
        <v>553565.48</v>
      </c>
      <c r="G144" s="73">
        <f t="shared" si="22"/>
        <v>553565</v>
      </c>
      <c r="H144" s="73">
        <f t="shared" si="19"/>
        <v>0.48</v>
      </c>
      <c r="I144" s="74" t="e">
        <f t="shared" si="20"/>
        <v>#DIV/0!</v>
      </c>
      <c r="J144" s="34"/>
      <c r="K144" s="34">
        <f t="shared" si="21"/>
        <v>100</v>
      </c>
      <c r="L144" s="45"/>
    </row>
    <row r="145" spans="1:12" s="2" customFormat="1" ht="46.8">
      <c r="A145" s="24" t="s">
        <v>542</v>
      </c>
      <c r="B145" s="33" t="s">
        <v>173</v>
      </c>
      <c r="C145" s="33" t="s">
        <v>544</v>
      </c>
      <c r="D145" s="33" t="s">
        <v>26</v>
      </c>
      <c r="E145" s="34">
        <f t="shared" si="22"/>
        <v>0</v>
      </c>
      <c r="F145" s="34">
        <f t="shared" si="22"/>
        <v>553565.48</v>
      </c>
      <c r="G145" s="34">
        <f t="shared" si="22"/>
        <v>553565</v>
      </c>
      <c r="H145" s="34">
        <f t="shared" si="19"/>
        <v>0.48</v>
      </c>
      <c r="I145" s="35" t="e">
        <f t="shared" si="20"/>
        <v>#DIV/0!</v>
      </c>
      <c r="J145" s="34"/>
      <c r="K145" s="34">
        <f t="shared" si="21"/>
        <v>100</v>
      </c>
      <c r="L145" s="34"/>
    </row>
    <row r="146" spans="1:12" s="2" customFormat="1" ht="46.8">
      <c r="A146" s="56" t="s">
        <v>517</v>
      </c>
      <c r="B146" s="33" t="s">
        <v>173</v>
      </c>
      <c r="C146" s="51" t="s">
        <v>540</v>
      </c>
      <c r="D146" s="33" t="s">
        <v>26</v>
      </c>
      <c r="E146" s="34">
        <f t="shared" si="22"/>
        <v>0</v>
      </c>
      <c r="F146" s="34">
        <f t="shared" si="22"/>
        <v>553565.48</v>
      </c>
      <c r="G146" s="34">
        <f t="shared" si="22"/>
        <v>553565</v>
      </c>
      <c r="H146" s="34">
        <f t="shared" si="19"/>
        <v>0.48</v>
      </c>
      <c r="I146" s="35" t="e">
        <f t="shared" si="20"/>
        <v>#DIV/0!</v>
      </c>
      <c r="J146" s="34"/>
      <c r="K146" s="34">
        <f t="shared" si="21"/>
        <v>100</v>
      </c>
      <c r="L146" s="34"/>
    </row>
    <row r="147" spans="1:12" s="2" customFormat="1" ht="124.8">
      <c r="A147" s="58" t="s">
        <v>118</v>
      </c>
      <c r="B147" s="33" t="s">
        <v>173</v>
      </c>
      <c r="C147" s="51" t="s">
        <v>540</v>
      </c>
      <c r="D147" s="33" t="s">
        <v>119</v>
      </c>
      <c r="E147" s="45">
        <v>0</v>
      </c>
      <c r="F147" s="45">
        <f>1744041.67-1190476.19</f>
        <v>553565.48</v>
      </c>
      <c r="G147" s="45">
        <v>553565</v>
      </c>
      <c r="H147" s="45">
        <f t="shared" si="19"/>
        <v>0.48</v>
      </c>
      <c r="I147" s="57" t="e">
        <f t="shared" si="20"/>
        <v>#DIV/0!</v>
      </c>
      <c r="J147" s="45" t="s">
        <v>575</v>
      </c>
      <c r="K147" s="45">
        <f t="shared" si="21"/>
        <v>100</v>
      </c>
      <c r="L147" s="34"/>
    </row>
    <row r="148" spans="1:12" s="2" customFormat="1" ht="46.8">
      <c r="A148" s="23" t="s">
        <v>349</v>
      </c>
      <c r="B148" s="33" t="s">
        <v>173</v>
      </c>
      <c r="C148" s="33" t="s">
        <v>148</v>
      </c>
      <c r="D148" s="33" t="s">
        <v>26</v>
      </c>
      <c r="E148" s="34">
        <f t="shared" ref="E148:G149" si="23">E149</f>
        <v>2102922.6800000002</v>
      </c>
      <c r="F148" s="34">
        <f t="shared" si="23"/>
        <v>3899450.73</v>
      </c>
      <c r="G148" s="34">
        <f t="shared" si="23"/>
        <v>3565460.15</v>
      </c>
      <c r="H148" s="34">
        <f t="shared" si="19"/>
        <v>333990.58</v>
      </c>
      <c r="I148" s="35">
        <f t="shared" si="20"/>
        <v>169.55</v>
      </c>
      <c r="J148" s="34"/>
      <c r="K148" s="34">
        <f t="shared" si="21"/>
        <v>91.43</v>
      </c>
      <c r="L148" s="34"/>
    </row>
    <row r="149" spans="1:12" s="2" customFormat="1" ht="31.2">
      <c r="A149" s="24" t="s">
        <v>347</v>
      </c>
      <c r="B149" s="33" t="s">
        <v>173</v>
      </c>
      <c r="C149" s="33" t="s">
        <v>277</v>
      </c>
      <c r="D149" s="33" t="s">
        <v>26</v>
      </c>
      <c r="E149" s="34">
        <f t="shared" si="23"/>
        <v>2102922.6800000002</v>
      </c>
      <c r="F149" s="34">
        <f t="shared" si="23"/>
        <v>3899450.73</v>
      </c>
      <c r="G149" s="34">
        <f t="shared" si="23"/>
        <v>3565460.15</v>
      </c>
      <c r="H149" s="34">
        <f t="shared" si="19"/>
        <v>333990.58</v>
      </c>
      <c r="I149" s="35">
        <f t="shared" si="20"/>
        <v>169.55</v>
      </c>
      <c r="J149" s="34"/>
      <c r="K149" s="34">
        <f t="shared" si="21"/>
        <v>91.43</v>
      </c>
      <c r="L149" s="34"/>
    </row>
    <row r="150" spans="1:12" s="2" customFormat="1" ht="15.6">
      <c r="A150" s="24" t="s">
        <v>348</v>
      </c>
      <c r="B150" s="33" t="s">
        <v>173</v>
      </c>
      <c r="C150" s="33" t="s">
        <v>274</v>
      </c>
      <c r="D150" s="33" t="s">
        <v>26</v>
      </c>
      <c r="E150" s="34">
        <f>E153+E151</f>
        <v>2102922.6800000002</v>
      </c>
      <c r="F150" s="34">
        <f>F153+F151</f>
        <v>3899450.73</v>
      </c>
      <c r="G150" s="34">
        <f>G153+G151</f>
        <v>3565460.15</v>
      </c>
      <c r="H150" s="34">
        <f t="shared" si="19"/>
        <v>333990.58</v>
      </c>
      <c r="I150" s="35">
        <f t="shared" si="20"/>
        <v>169.55</v>
      </c>
      <c r="J150" s="34"/>
      <c r="K150" s="34">
        <f t="shared" si="21"/>
        <v>91.43</v>
      </c>
      <c r="L150" s="34"/>
    </row>
    <row r="151" spans="1:12" s="2" customFormat="1" ht="124.8">
      <c r="A151" s="52" t="s">
        <v>350</v>
      </c>
      <c r="B151" s="33" t="s">
        <v>173</v>
      </c>
      <c r="C151" s="24" t="s">
        <v>215</v>
      </c>
      <c r="D151" s="54" t="s">
        <v>26</v>
      </c>
      <c r="E151" s="73">
        <f>E152</f>
        <v>0</v>
      </c>
      <c r="F151" s="73">
        <f>F152</f>
        <v>593055.51</v>
      </c>
      <c r="G151" s="73">
        <f>G152</f>
        <v>593055.51</v>
      </c>
      <c r="H151" s="73">
        <f t="shared" si="19"/>
        <v>0</v>
      </c>
      <c r="I151" s="74" t="e">
        <f t="shared" si="20"/>
        <v>#DIV/0!</v>
      </c>
      <c r="J151" s="34"/>
      <c r="K151" s="34">
        <f t="shared" si="21"/>
        <v>100</v>
      </c>
      <c r="L151" s="45" t="s">
        <v>575</v>
      </c>
    </row>
    <row r="152" spans="1:12" s="2" customFormat="1" ht="124.8">
      <c r="A152" s="36" t="s">
        <v>118</v>
      </c>
      <c r="B152" s="33" t="s">
        <v>173</v>
      </c>
      <c r="C152" s="24" t="s">
        <v>215</v>
      </c>
      <c r="D152" s="54" t="s">
        <v>119</v>
      </c>
      <c r="E152" s="34">
        <v>0</v>
      </c>
      <c r="F152" s="34">
        <v>593055.51</v>
      </c>
      <c r="G152" s="34">
        <v>593055.51</v>
      </c>
      <c r="H152" s="34">
        <f t="shared" si="19"/>
        <v>0</v>
      </c>
      <c r="I152" s="35" t="e">
        <f t="shared" si="20"/>
        <v>#DIV/0!</v>
      </c>
      <c r="J152" s="45" t="s">
        <v>576</v>
      </c>
      <c r="K152" s="34">
        <f t="shared" si="21"/>
        <v>100</v>
      </c>
      <c r="L152" s="31"/>
    </row>
    <row r="153" spans="1:12" s="2" customFormat="1" ht="93.6">
      <c r="A153" s="56" t="s">
        <v>278</v>
      </c>
      <c r="B153" s="33" t="s">
        <v>173</v>
      </c>
      <c r="C153" s="51" t="s">
        <v>159</v>
      </c>
      <c r="D153" s="33" t="s">
        <v>26</v>
      </c>
      <c r="E153" s="34">
        <f>E154</f>
        <v>2102922.6800000002</v>
      </c>
      <c r="F153" s="34">
        <f>F154</f>
        <v>3306395.22</v>
      </c>
      <c r="G153" s="34">
        <f>G154</f>
        <v>2972404.64</v>
      </c>
      <c r="H153" s="34">
        <f t="shared" si="19"/>
        <v>333990.58</v>
      </c>
      <c r="I153" s="35">
        <f t="shared" si="20"/>
        <v>141.35</v>
      </c>
      <c r="J153" s="34"/>
      <c r="K153" s="34">
        <f t="shared" si="21"/>
        <v>89.9</v>
      </c>
      <c r="L153" s="31"/>
    </row>
    <row r="154" spans="1:12" s="2" customFormat="1" ht="124.8">
      <c r="A154" s="58" t="s">
        <v>118</v>
      </c>
      <c r="B154" s="33" t="s">
        <v>173</v>
      </c>
      <c r="C154" s="51" t="s">
        <v>159</v>
      </c>
      <c r="D154" s="33" t="s">
        <v>119</v>
      </c>
      <c r="E154" s="45">
        <f>2102922.68</f>
        <v>2102922.6800000002</v>
      </c>
      <c r="F154" s="45">
        <v>3306395.22</v>
      </c>
      <c r="G154" s="45">
        <v>2972404.64</v>
      </c>
      <c r="H154" s="45">
        <f t="shared" si="19"/>
        <v>333990.58</v>
      </c>
      <c r="I154" s="57">
        <f t="shared" si="20"/>
        <v>141.35</v>
      </c>
      <c r="J154" s="45" t="s">
        <v>575</v>
      </c>
      <c r="K154" s="45">
        <f t="shared" si="21"/>
        <v>89.9</v>
      </c>
      <c r="L154" s="31"/>
    </row>
    <row r="155" spans="1:12" s="2" customFormat="1" ht="15.6">
      <c r="A155" s="75" t="s">
        <v>509</v>
      </c>
      <c r="B155" s="33" t="s">
        <v>507</v>
      </c>
      <c r="C155" s="51" t="s">
        <v>147</v>
      </c>
      <c r="D155" s="33" t="s">
        <v>26</v>
      </c>
      <c r="E155" s="34">
        <f>E156+E160</f>
        <v>500000</v>
      </c>
      <c r="F155" s="34">
        <f>F156+F160</f>
        <v>51200</v>
      </c>
      <c r="G155" s="34">
        <f>G156+G160</f>
        <v>51200</v>
      </c>
      <c r="H155" s="34">
        <f t="shared" si="19"/>
        <v>0</v>
      </c>
      <c r="I155" s="35">
        <f t="shared" si="20"/>
        <v>10.24</v>
      </c>
      <c r="J155" s="34"/>
      <c r="K155" s="34">
        <f t="shared" si="21"/>
        <v>100</v>
      </c>
      <c r="L155" s="31"/>
    </row>
    <row r="156" spans="1:12" s="2" customFormat="1" ht="78">
      <c r="A156" s="76" t="s">
        <v>355</v>
      </c>
      <c r="B156" s="33" t="s">
        <v>507</v>
      </c>
      <c r="C156" s="24" t="s">
        <v>151</v>
      </c>
      <c r="D156" s="23" t="s">
        <v>26</v>
      </c>
      <c r="E156" s="31">
        <f t="shared" ref="E156:G158" si="24">E157</f>
        <v>500000</v>
      </c>
      <c r="F156" s="31">
        <f t="shared" si="24"/>
        <v>0</v>
      </c>
      <c r="G156" s="31">
        <f t="shared" si="24"/>
        <v>0</v>
      </c>
      <c r="H156" s="31">
        <f t="shared" si="19"/>
        <v>0</v>
      </c>
      <c r="I156" s="32">
        <f t="shared" si="20"/>
        <v>0</v>
      </c>
      <c r="J156" s="31"/>
      <c r="K156" s="31" t="e">
        <f t="shared" si="21"/>
        <v>#DIV/0!</v>
      </c>
      <c r="L156" s="34"/>
    </row>
    <row r="157" spans="1:12" s="2" customFormat="1" ht="46.8">
      <c r="A157" s="72" t="s">
        <v>152</v>
      </c>
      <c r="B157" s="33" t="s">
        <v>507</v>
      </c>
      <c r="C157" s="24" t="s">
        <v>153</v>
      </c>
      <c r="D157" s="23" t="s">
        <v>26</v>
      </c>
      <c r="E157" s="31">
        <f t="shared" si="24"/>
        <v>500000</v>
      </c>
      <c r="F157" s="31">
        <f t="shared" si="24"/>
        <v>0</v>
      </c>
      <c r="G157" s="31">
        <f t="shared" si="24"/>
        <v>0</v>
      </c>
      <c r="H157" s="31">
        <f t="shared" si="19"/>
        <v>0</v>
      </c>
      <c r="I157" s="32">
        <f t="shared" si="20"/>
        <v>0</v>
      </c>
      <c r="J157" s="31"/>
      <c r="K157" s="31" t="e">
        <f t="shared" si="21"/>
        <v>#DIV/0!</v>
      </c>
      <c r="L157" s="34"/>
    </row>
    <row r="158" spans="1:12" s="2" customFormat="1" ht="62.4">
      <c r="A158" s="24" t="s">
        <v>510</v>
      </c>
      <c r="B158" s="33" t="s">
        <v>507</v>
      </c>
      <c r="C158" s="24" t="s">
        <v>508</v>
      </c>
      <c r="D158" s="23" t="s">
        <v>26</v>
      </c>
      <c r="E158" s="31">
        <f t="shared" si="24"/>
        <v>500000</v>
      </c>
      <c r="F158" s="31">
        <f t="shared" si="24"/>
        <v>0</v>
      </c>
      <c r="G158" s="31">
        <f t="shared" si="24"/>
        <v>0</v>
      </c>
      <c r="H158" s="31">
        <f t="shared" si="19"/>
        <v>0</v>
      </c>
      <c r="I158" s="32">
        <f t="shared" si="20"/>
        <v>0</v>
      </c>
      <c r="J158" s="31"/>
      <c r="K158" s="31" t="e">
        <f t="shared" si="21"/>
        <v>#DIV/0!</v>
      </c>
      <c r="L158" s="34"/>
    </row>
    <row r="159" spans="1:12" s="2" customFormat="1" ht="31.2">
      <c r="A159" s="36" t="s">
        <v>118</v>
      </c>
      <c r="B159" s="33" t="s">
        <v>507</v>
      </c>
      <c r="C159" s="24" t="s">
        <v>508</v>
      </c>
      <c r="D159" s="23" t="s">
        <v>119</v>
      </c>
      <c r="E159" s="47">
        <f>500000</f>
        <v>500000</v>
      </c>
      <c r="F159" s="47">
        <f>500000-500000</f>
        <v>0</v>
      </c>
      <c r="G159" s="47">
        <f>500000-500000</f>
        <v>0</v>
      </c>
      <c r="H159" s="47">
        <f t="shared" si="19"/>
        <v>0</v>
      </c>
      <c r="I159" s="49">
        <f t="shared" si="20"/>
        <v>0</v>
      </c>
      <c r="J159" s="47"/>
      <c r="K159" s="47" t="e">
        <f t="shared" si="21"/>
        <v>#DIV/0!</v>
      </c>
      <c r="L159" s="34"/>
    </row>
    <row r="160" spans="1:12" s="2" customFormat="1" ht="46.8">
      <c r="A160" s="23" t="s">
        <v>349</v>
      </c>
      <c r="B160" s="33" t="s">
        <v>507</v>
      </c>
      <c r="C160" s="33" t="s">
        <v>148</v>
      </c>
      <c r="D160" s="33" t="s">
        <v>26</v>
      </c>
      <c r="E160" s="34">
        <f t="shared" ref="E160:G163" si="25">E161</f>
        <v>0</v>
      </c>
      <c r="F160" s="34">
        <f t="shared" si="25"/>
        <v>51200</v>
      </c>
      <c r="G160" s="34">
        <f t="shared" si="25"/>
        <v>51200</v>
      </c>
      <c r="H160" s="34">
        <f t="shared" si="19"/>
        <v>0</v>
      </c>
      <c r="I160" s="35" t="e">
        <f t="shared" si="20"/>
        <v>#DIV/0!</v>
      </c>
      <c r="J160" s="34"/>
      <c r="K160" s="34">
        <f t="shared" si="21"/>
        <v>100</v>
      </c>
      <c r="L160" s="31"/>
    </row>
    <row r="161" spans="1:12" s="2" customFormat="1" ht="31.2">
      <c r="A161" s="24" t="s">
        <v>347</v>
      </c>
      <c r="B161" s="33" t="s">
        <v>507</v>
      </c>
      <c r="C161" s="33" t="s">
        <v>277</v>
      </c>
      <c r="D161" s="33" t="s">
        <v>26</v>
      </c>
      <c r="E161" s="34">
        <f t="shared" si="25"/>
        <v>0</v>
      </c>
      <c r="F161" s="34">
        <f t="shared" si="25"/>
        <v>51200</v>
      </c>
      <c r="G161" s="34">
        <f t="shared" si="25"/>
        <v>51200</v>
      </c>
      <c r="H161" s="34">
        <f t="shared" si="19"/>
        <v>0</v>
      </c>
      <c r="I161" s="35" t="e">
        <f t="shared" si="20"/>
        <v>#DIV/0!</v>
      </c>
      <c r="J161" s="34"/>
      <c r="K161" s="34">
        <f t="shared" si="21"/>
        <v>100</v>
      </c>
      <c r="L161" s="34"/>
    </row>
    <row r="162" spans="1:12" s="2" customFormat="1" ht="15.6">
      <c r="A162" s="24" t="s">
        <v>348</v>
      </c>
      <c r="B162" s="33" t="s">
        <v>507</v>
      </c>
      <c r="C162" s="33" t="s">
        <v>274</v>
      </c>
      <c r="D162" s="33" t="s">
        <v>26</v>
      </c>
      <c r="E162" s="34">
        <f t="shared" si="25"/>
        <v>0</v>
      </c>
      <c r="F162" s="34">
        <f t="shared" si="25"/>
        <v>51200</v>
      </c>
      <c r="G162" s="34">
        <f t="shared" si="25"/>
        <v>51200</v>
      </c>
      <c r="H162" s="34">
        <f t="shared" si="19"/>
        <v>0</v>
      </c>
      <c r="I162" s="35" t="e">
        <f t="shared" si="20"/>
        <v>#DIV/0!</v>
      </c>
      <c r="J162" s="34"/>
      <c r="K162" s="34">
        <f t="shared" si="21"/>
        <v>100</v>
      </c>
      <c r="L162" s="34"/>
    </row>
    <row r="163" spans="1:12" s="2" customFormat="1" ht="31.2">
      <c r="A163" s="52" t="s">
        <v>350</v>
      </c>
      <c r="B163" s="33" t="s">
        <v>507</v>
      </c>
      <c r="C163" s="24" t="s">
        <v>215</v>
      </c>
      <c r="D163" s="54" t="s">
        <v>26</v>
      </c>
      <c r="E163" s="34">
        <f t="shared" si="25"/>
        <v>0</v>
      </c>
      <c r="F163" s="34">
        <f t="shared" si="25"/>
        <v>51200</v>
      </c>
      <c r="G163" s="34">
        <f t="shared" si="25"/>
        <v>51200</v>
      </c>
      <c r="H163" s="34">
        <f t="shared" si="19"/>
        <v>0</v>
      </c>
      <c r="I163" s="35" t="e">
        <f t="shared" si="20"/>
        <v>#DIV/0!</v>
      </c>
      <c r="J163" s="34"/>
      <c r="K163" s="34">
        <f t="shared" si="21"/>
        <v>100</v>
      </c>
      <c r="L163" s="34"/>
    </row>
    <row r="164" spans="1:12" s="2" customFormat="1" ht="124.8">
      <c r="A164" s="36" t="s">
        <v>118</v>
      </c>
      <c r="B164" s="33" t="s">
        <v>507</v>
      </c>
      <c r="C164" s="24" t="s">
        <v>215</v>
      </c>
      <c r="D164" s="54" t="s">
        <v>119</v>
      </c>
      <c r="E164" s="34">
        <f>0</f>
        <v>0</v>
      </c>
      <c r="F164" s="34">
        <f>0+51200</f>
        <v>51200</v>
      </c>
      <c r="G164" s="34">
        <f>0+51200</f>
        <v>51200</v>
      </c>
      <c r="H164" s="34">
        <f t="shared" si="19"/>
        <v>0</v>
      </c>
      <c r="I164" s="35" t="e">
        <f t="shared" si="20"/>
        <v>#DIV/0!</v>
      </c>
      <c r="J164" s="45" t="s">
        <v>576</v>
      </c>
      <c r="K164" s="34">
        <f t="shared" si="21"/>
        <v>100</v>
      </c>
      <c r="L164" s="34"/>
    </row>
    <row r="165" spans="1:12" s="2" customFormat="1" ht="15.6">
      <c r="A165" s="24" t="s">
        <v>62</v>
      </c>
      <c r="B165" s="33" t="s">
        <v>63</v>
      </c>
      <c r="C165" s="51" t="s">
        <v>147</v>
      </c>
      <c r="D165" s="33" t="s">
        <v>26</v>
      </c>
      <c r="E165" s="34">
        <f>E166+E176</f>
        <v>9090313.7599999998</v>
      </c>
      <c r="F165" s="34">
        <f>F166+F176</f>
        <v>7714648.7599999998</v>
      </c>
      <c r="G165" s="34">
        <f>G166+G176</f>
        <v>7711261.6799999997</v>
      </c>
      <c r="H165" s="34">
        <f t="shared" si="19"/>
        <v>3387.08</v>
      </c>
      <c r="I165" s="35">
        <f t="shared" si="20"/>
        <v>84.83</v>
      </c>
      <c r="J165" s="34"/>
      <c r="K165" s="34">
        <f t="shared" si="21"/>
        <v>99.96</v>
      </c>
      <c r="L165" s="34"/>
    </row>
    <row r="166" spans="1:12" s="2" customFormat="1" ht="124.8">
      <c r="A166" s="33" t="s">
        <v>356</v>
      </c>
      <c r="B166" s="33" t="s">
        <v>63</v>
      </c>
      <c r="C166" s="51" t="s">
        <v>160</v>
      </c>
      <c r="D166" s="33" t="s">
        <v>26</v>
      </c>
      <c r="E166" s="34">
        <f t="shared" ref="E166:G167" si="26">E167</f>
        <v>9086926.6799999997</v>
      </c>
      <c r="F166" s="34">
        <f t="shared" si="26"/>
        <v>7711261.6799999997</v>
      </c>
      <c r="G166" s="34">
        <f t="shared" si="26"/>
        <v>7711261.6799999997</v>
      </c>
      <c r="H166" s="34">
        <f t="shared" si="19"/>
        <v>0</v>
      </c>
      <c r="I166" s="35">
        <f t="shared" si="20"/>
        <v>84.86</v>
      </c>
      <c r="J166" s="34"/>
      <c r="K166" s="34">
        <f t="shared" si="21"/>
        <v>100</v>
      </c>
      <c r="L166" s="45" t="s">
        <v>575</v>
      </c>
    </row>
    <row r="167" spans="1:12" s="2" customFormat="1" ht="46.8">
      <c r="A167" s="33" t="s">
        <v>357</v>
      </c>
      <c r="B167" s="23" t="s">
        <v>63</v>
      </c>
      <c r="C167" s="24" t="s">
        <v>161</v>
      </c>
      <c r="D167" s="23" t="s">
        <v>26</v>
      </c>
      <c r="E167" s="31">
        <f t="shared" si="26"/>
        <v>9086926.6799999997</v>
      </c>
      <c r="F167" s="31">
        <f t="shared" si="26"/>
        <v>7711261.6799999997</v>
      </c>
      <c r="G167" s="31">
        <f t="shared" si="26"/>
        <v>7711261.6799999997</v>
      </c>
      <c r="H167" s="31">
        <f t="shared" si="19"/>
        <v>0</v>
      </c>
      <c r="I167" s="32">
        <f t="shared" si="20"/>
        <v>84.86</v>
      </c>
      <c r="J167" s="31"/>
      <c r="K167" s="31">
        <f t="shared" si="21"/>
        <v>100</v>
      </c>
      <c r="L167" s="34"/>
    </row>
    <row r="168" spans="1:12" s="2" customFormat="1" ht="46.8">
      <c r="A168" s="33" t="s">
        <v>358</v>
      </c>
      <c r="B168" s="23" t="s">
        <v>63</v>
      </c>
      <c r="C168" s="24" t="s">
        <v>297</v>
      </c>
      <c r="D168" s="23" t="s">
        <v>26</v>
      </c>
      <c r="E168" s="31">
        <f>E169+E172+E174</f>
        <v>9086926.6799999997</v>
      </c>
      <c r="F168" s="31">
        <f>F169+F172+F174</f>
        <v>7711261.6799999997</v>
      </c>
      <c r="G168" s="31">
        <f>G169+G172+G174</f>
        <v>7711261.6799999997</v>
      </c>
      <c r="H168" s="31">
        <f t="shared" si="19"/>
        <v>0</v>
      </c>
      <c r="I168" s="32">
        <f t="shared" si="20"/>
        <v>84.86</v>
      </c>
      <c r="J168" s="31"/>
      <c r="K168" s="31">
        <f t="shared" si="21"/>
        <v>100</v>
      </c>
      <c r="L168" s="34"/>
    </row>
    <row r="169" spans="1:12" s="2" customFormat="1" ht="78">
      <c r="A169" s="23" t="s">
        <v>296</v>
      </c>
      <c r="B169" s="23" t="s">
        <v>63</v>
      </c>
      <c r="C169" s="24" t="s">
        <v>295</v>
      </c>
      <c r="D169" s="23" t="s">
        <v>26</v>
      </c>
      <c r="E169" s="34">
        <f>E170+E171</f>
        <v>3983473.92</v>
      </c>
      <c r="F169" s="34">
        <f>F170+F171</f>
        <v>4111261.68</v>
      </c>
      <c r="G169" s="34">
        <f>G170+G171</f>
        <v>4111261.68</v>
      </c>
      <c r="H169" s="34">
        <f t="shared" si="19"/>
        <v>0</v>
      </c>
      <c r="I169" s="35">
        <f t="shared" si="20"/>
        <v>103.21</v>
      </c>
      <c r="J169" s="34"/>
      <c r="K169" s="34">
        <f t="shared" si="21"/>
        <v>100</v>
      </c>
      <c r="L169" s="34"/>
    </row>
    <row r="170" spans="1:12" s="1" customFormat="1" ht="31.2">
      <c r="A170" s="58" t="s">
        <v>118</v>
      </c>
      <c r="B170" s="33" t="s">
        <v>63</v>
      </c>
      <c r="C170" s="24" t="s">
        <v>295</v>
      </c>
      <c r="D170" s="33" t="s">
        <v>119</v>
      </c>
      <c r="E170" s="45">
        <v>0</v>
      </c>
      <c r="F170" s="45">
        <f>340000+3313396.76-212212.24</f>
        <v>3441184.52</v>
      </c>
      <c r="G170" s="45">
        <f>340000+3313396.76-212212.24</f>
        <v>3441184.52</v>
      </c>
      <c r="H170" s="45">
        <f t="shared" si="19"/>
        <v>0</v>
      </c>
      <c r="I170" s="57" t="e">
        <f t="shared" si="20"/>
        <v>#DIV/0!</v>
      </c>
      <c r="J170" s="45"/>
      <c r="K170" s="45">
        <f t="shared" si="21"/>
        <v>100</v>
      </c>
      <c r="L170" s="34"/>
    </row>
    <row r="171" spans="1:12" s="1" customFormat="1" ht="46.8">
      <c r="A171" s="24" t="s">
        <v>104</v>
      </c>
      <c r="B171" s="23" t="s">
        <v>63</v>
      </c>
      <c r="C171" s="24" t="s">
        <v>295</v>
      </c>
      <c r="D171" s="23" t="s">
        <v>82</v>
      </c>
      <c r="E171" s="34">
        <f>3983473.92</f>
        <v>3983473.92</v>
      </c>
      <c r="F171" s="34">
        <f>3983473.92-3313396.76</f>
        <v>670077.16</v>
      </c>
      <c r="G171" s="34">
        <f>3983473.92-3313396.76</f>
        <v>670077.16</v>
      </c>
      <c r="H171" s="34">
        <f t="shared" si="19"/>
        <v>0</v>
      </c>
      <c r="I171" s="35">
        <f t="shared" si="20"/>
        <v>16.82</v>
      </c>
      <c r="J171" s="34"/>
      <c r="K171" s="34">
        <f t="shared" si="21"/>
        <v>100</v>
      </c>
      <c r="L171" s="45"/>
    </row>
    <row r="172" spans="1:12" s="2" customFormat="1" ht="62.4">
      <c r="A172" s="23" t="s">
        <v>255</v>
      </c>
      <c r="B172" s="23" t="s">
        <v>63</v>
      </c>
      <c r="C172" s="24" t="s">
        <v>256</v>
      </c>
      <c r="D172" s="23" t="s">
        <v>26</v>
      </c>
      <c r="E172" s="34">
        <f>E173</f>
        <v>4848280.12</v>
      </c>
      <c r="F172" s="34">
        <f>F173</f>
        <v>2880000</v>
      </c>
      <c r="G172" s="34">
        <f>G173</f>
        <v>2880000</v>
      </c>
      <c r="H172" s="34">
        <f t="shared" si="19"/>
        <v>0</v>
      </c>
      <c r="I172" s="35">
        <f t="shared" si="20"/>
        <v>59.4</v>
      </c>
      <c r="J172" s="34"/>
      <c r="K172" s="34">
        <f t="shared" si="21"/>
        <v>100</v>
      </c>
      <c r="L172" s="34"/>
    </row>
    <row r="173" spans="1:12" s="2" customFormat="1" ht="124.8">
      <c r="A173" s="24" t="s">
        <v>118</v>
      </c>
      <c r="B173" s="23" t="s">
        <v>63</v>
      </c>
      <c r="C173" s="24" t="s">
        <v>256</v>
      </c>
      <c r="D173" s="23" t="s">
        <v>119</v>
      </c>
      <c r="E173" s="34">
        <f>4848280.12</f>
        <v>4848280.12</v>
      </c>
      <c r="F173" s="34">
        <f>4848280.12-1968280.12</f>
        <v>2880000</v>
      </c>
      <c r="G173" s="34">
        <f>4848280.12-1968280.12</f>
        <v>2880000</v>
      </c>
      <c r="H173" s="34">
        <f t="shared" si="19"/>
        <v>0</v>
      </c>
      <c r="I173" s="35">
        <f t="shared" si="20"/>
        <v>59.4</v>
      </c>
      <c r="J173" s="45" t="s">
        <v>575</v>
      </c>
      <c r="K173" s="34">
        <f t="shared" si="21"/>
        <v>100</v>
      </c>
      <c r="L173" s="34"/>
    </row>
    <row r="174" spans="1:12" s="2" customFormat="1" ht="62.4">
      <c r="A174" s="23" t="s">
        <v>257</v>
      </c>
      <c r="B174" s="23" t="s">
        <v>63</v>
      </c>
      <c r="C174" s="24" t="s">
        <v>256</v>
      </c>
      <c r="D174" s="23" t="s">
        <v>26</v>
      </c>
      <c r="E174" s="34">
        <f>E175</f>
        <v>255172.64</v>
      </c>
      <c r="F174" s="34">
        <f>F175</f>
        <v>720000</v>
      </c>
      <c r="G174" s="34">
        <f>G175</f>
        <v>720000</v>
      </c>
      <c r="H174" s="34">
        <f t="shared" si="19"/>
        <v>0</v>
      </c>
      <c r="I174" s="35">
        <f t="shared" si="20"/>
        <v>282.16000000000003</v>
      </c>
      <c r="J174" s="34"/>
      <c r="K174" s="34">
        <f t="shared" si="21"/>
        <v>100</v>
      </c>
      <c r="L174" s="34"/>
    </row>
    <row r="175" spans="1:12" s="2" customFormat="1" ht="124.8">
      <c r="A175" s="24" t="s">
        <v>118</v>
      </c>
      <c r="B175" s="23" t="s">
        <v>63</v>
      </c>
      <c r="C175" s="24" t="s">
        <v>256</v>
      </c>
      <c r="D175" s="23" t="s">
        <v>119</v>
      </c>
      <c r="E175" s="34">
        <f>255172.64</f>
        <v>255172.64</v>
      </c>
      <c r="F175" s="34">
        <f>255172.64+1212070.03-255172.64-492070.03</f>
        <v>720000</v>
      </c>
      <c r="G175" s="34">
        <f>255172.64+1212070.03-255172.64-492070.03</f>
        <v>720000</v>
      </c>
      <c r="H175" s="34">
        <f t="shared" si="19"/>
        <v>0</v>
      </c>
      <c r="I175" s="35">
        <f t="shared" si="20"/>
        <v>282.16000000000003</v>
      </c>
      <c r="J175" s="45" t="s">
        <v>575</v>
      </c>
      <c r="K175" s="34">
        <f t="shared" si="21"/>
        <v>100</v>
      </c>
      <c r="L175" s="34"/>
    </row>
    <row r="176" spans="1:12" s="2" customFormat="1" ht="62.4">
      <c r="A176" s="52" t="s">
        <v>279</v>
      </c>
      <c r="B176" s="23" t="s">
        <v>63</v>
      </c>
      <c r="C176" s="53" t="s">
        <v>195</v>
      </c>
      <c r="D176" s="23" t="s">
        <v>26</v>
      </c>
      <c r="E176" s="34">
        <f>E177</f>
        <v>3387.08</v>
      </c>
      <c r="F176" s="34">
        <f>F177</f>
        <v>3387.08</v>
      </c>
      <c r="G176" s="34">
        <f>G177</f>
        <v>0</v>
      </c>
      <c r="H176" s="34">
        <f t="shared" si="19"/>
        <v>3387.08</v>
      </c>
      <c r="I176" s="35">
        <f t="shared" si="20"/>
        <v>0</v>
      </c>
      <c r="J176" s="34"/>
      <c r="K176" s="34">
        <f t="shared" si="21"/>
        <v>0</v>
      </c>
      <c r="L176" s="34"/>
    </row>
    <row r="177" spans="1:12" s="2" customFormat="1" ht="124.8">
      <c r="A177" s="36" t="s">
        <v>118</v>
      </c>
      <c r="B177" s="23" t="s">
        <v>63</v>
      </c>
      <c r="C177" s="53" t="s">
        <v>195</v>
      </c>
      <c r="D177" s="23" t="s">
        <v>119</v>
      </c>
      <c r="E177" s="45">
        <v>3387.08</v>
      </c>
      <c r="F177" s="45">
        <v>3387.08</v>
      </c>
      <c r="G177" s="45">
        <v>0</v>
      </c>
      <c r="H177" s="45">
        <f t="shared" si="19"/>
        <v>3387.08</v>
      </c>
      <c r="I177" s="57">
        <f t="shared" si="20"/>
        <v>0</v>
      </c>
      <c r="J177" s="45" t="s">
        <v>575</v>
      </c>
      <c r="K177" s="45">
        <f t="shared" si="21"/>
        <v>0</v>
      </c>
      <c r="L177" s="34"/>
    </row>
    <row r="178" spans="1:12" s="2" customFormat="1" ht="15.6">
      <c r="A178" s="24" t="s">
        <v>91</v>
      </c>
      <c r="B178" s="23" t="s">
        <v>92</v>
      </c>
      <c r="C178" s="23" t="s">
        <v>147</v>
      </c>
      <c r="D178" s="23" t="s">
        <v>26</v>
      </c>
      <c r="E178" s="31">
        <f>E179+E193</f>
        <v>150219000</v>
      </c>
      <c r="F178" s="31">
        <f>F179+F193</f>
        <v>155334333.28999999</v>
      </c>
      <c r="G178" s="31">
        <f>G179+G193</f>
        <v>148811136.61000001</v>
      </c>
      <c r="H178" s="31">
        <f t="shared" si="19"/>
        <v>6523196.6799999997</v>
      </c>
      <c r="I178" s="32">
        <f t="shared" si="20"/>
        <v>99.06</v>
      </c>
      <c r="J178" s="31"/>
      <c r="K178" s="31">
        <f t="shared" si="21"/>
        <v>95.8</v>
      </c>
      <c r="L178" s="29"/>
    </row>
    <row r="179" spans="1:12" s="2" customFormat="1" ht="46.8">
      <c r="A179" s="33" t="s">
        <v>356</v>
      </c>
      <c r="B179" s="23" t="s">
        <v>92</v>
      </c>
      <c r="C179" s="23" t="s">
        <v>160</v>
      </c>
      <c r="D179" s="23" t="s">
        <v>26</v>
      </c>
      <c r="E179" s="31">
        <f>E180</f>
        <v>150219000</v>
      </c>
      <c r="F179" s="31">
        <f>F180</f>
        <v>155334333.28999999</v>
      </c>
      <c r="G179" s="31">
        <f>G180</f>
        <v>148811136.61000001</v>
      </c>
      <c r="H179" s="31">
        <f t="shared" si="19"/>
        <v>6523196.6799999997</v>
      </c>
      <c r="I179" s="32">
        <f t="shared" si="20"/>
        <v>99.06</v>
      </c>
      <c r="J179" s="31"/>
      <c r="K179" s="31">
        <f t="shared" si="21"/>
        <v>95.8</v>
      </c>
      <c r="L179" s="31"/>
    </row>
    <row r="180" spans="1:12" s="2" customFormat="1" ht="46.8">
      <c r="A180" s="23" t="s">
        <v>359</v>
      </c>
      <c r="B180" s="23" t="s">
        <v>92</v>
      </c>
      <c r="C180" s="23" t="s">
        <v>162</v>
      </c>
      <c r="D180" s="23" t="s">
        <v>26</v>
      </c>
      <c r="E180" s="31">
        <f>E181+E186</f>
        <v>150219000</v>
      </c>
      <c r="F180" s="31">
        <f>F181+F186</f>
        <v>155334333.28999999</v>
      </c>
      <c r="G180" s="31">
        <f>G181+G186</f>
        <v>148811136.61000001</v>
      </c>
      <c r="H180" s="31">
        <f t="shared" si="19"/>
        <v>6523196.6799999997</v>
      </c>
      <c r="I180" s="32">
        <f t="shared" si="20"/>
        <v>99.06</v>
      </c>
      <c r="J180" s="31"/>
      <c r="K180" s="31">
        <f t="shared" si="21"/>
        <v>95.8</v>
      </c>
      <c r="L180" s="31"/>
    </row>
    <row r="181" spans="1:12" s="2" customFormat="1" ht="31.2">
      <c r="A181" s="77" t="s">
        <v>280</v>
      </c>
      <c r="B181" s="23" t="s">
        <v>92</v>
      </c>
      <c r="C181" s="64" t="s">
        <v>206</v>
      </c>
      <c r="D181" s="23" t="s">
        <v>26</v>
      </c>
      <c r="E181" s="31">
        <f>E182+E184</f>
        <v>120000000</v>
      </c>
      <c r="F181" s="31">
        <f>F182+F184</f>
        <v>120000000</v>
      </c>
      <c r="G181" s="31">
        <f>G182+G184</f>
        <v>120000000</v>
      </c>
      <c r="H181" s="31">
        <f t="shared" si="19"/>
        <v>0</v>
      </c>
      <c r="I181" s="32">
        <f t="shared" si="20"/>
        <v>100</v>
      </c>
      <c r="J181" s="31"/>
      <c r="K181" s="31">
        <f t="shared" si="21"/>
        <v>100</v>
      </c>
      <c r="L181" s="34"/>
    </row>
    <row r="182" spans="1:12" s="2" customFormat="1" ht="46.8">
      <c r="A182" s="77" t="s">
        <v>547</v>
      </c>
      <c r="B182" s="23" t="s">
        <v>92</v>
      </c>
      <c r="C182" s="64" t="s">
        <v>546</v>
      </c>
      <c r="D182" s="23" t="s">
        <v>26</v>
      </c>
      <c r="E182" s="34">
        <f>E183</f>
        <v>108000000</v>
      </c>
      <c r="F182" s="34">
        <f>F183</f>
        <v>108000000</v>
      </c>
      <c r="G182" s="34">
        <f>G183</f>
        <v>108000000</v>
      </c>
      <c r="H182" s="34">
        <f t="shared" si="19"/>
        <v>0</v>
      </c>
      <c r="I182" s="35">
        <f t="shared" si="20"/>
        <v>100</v>
      </c>
      <c r="J182" s="34"/>
      <c r="K182" s="34">
        <f t="shared" si="21"/>
        <v>100</v>
      </c>
      <c r="L182" s="34"/>
    </row>
    <row r="183" spans="1:12" s="2" customFormat="1" ht="31.2">
      <c r="A183" s="36" t="s">
        <v>118</v>
      </c>
      <c r="B183" s="23" t="s">
        <v>92</v>
      </c>
      <c r="C183" s="64" t="s">
        <v>546</v>
      </c>
      <c r="D183" s="23" t="s">
        <v>119</v>
      </c>
      <c r="E183" s="34">
        <v>108000000</v>
      </c>
      <c r="F183" s="34">
        <v>108000000</v>
      </c>
      <c r="G183" s="34">
        <v>108000000</v>
      </c>
      <c r="H183" s="34">
        <f t="shared" si="19"/>
        <v>0</v>
      </c>
      <c r="I183" s="35">
        <f t="shared" si="20"/>
        <v>100</v>
      </c>
      <c r="J183" s="34"/>
      <c r="K183" s="34">
        <f t="shared" si="21"/>
        <v>100</v>
      </c>
      <c r="L183" s="34"/>
    </row>
    <row r="184" spans="1:12" s="2" customFormat="1" ht="62.4">
      <c r="A184" s="50" t="s">
        <v>548</v>
      </c>
      <c r="B184" s="23" t="s">
        <v>92</v>
      </c>
      <c r="C184" s="64" t="s">
        <v>546</v>
      </c>
      <c r="D184" s="23" t="s">
        <v>26</v>
      </c>
      <c r="E184" s="34">
        <f>E185</f>
        <v>12000000</v>
      </c>
      <c r="F184" s="34">
        <f>F185</f>
        <v>12000000</v>
      </c>
      <c r="G184" s="34">
        <f>G185</f>
        <v>12000000</v>
      </c>
      <c r="H184" s="34">
        <f t="shared" si="19"/>
        <v>0</v>
      </c>
      <c r="I184" s="35">
        <f t="shared" si="20"/>
        <v>100</v>
      </c>
      <c r="J184" s="34"/>
      <c r="K184" s="34">
        <f t="shared" si="21"/>
        <v>100</v>
      </c>
      <c r="L184" s="31"/>
    </row>
    <row r="185" spans="1:12" s="2" customFormat="1" ht="31.2">
      <c r="A185" s="36" t="s">
        <v>118</v>
      </c>
      <c r="B185" s="23" t="s">
        <v>92</v>
      </c>
      <c r="C185" s="64" t="s">
        <v>546</v>
      </c>
      <c r="D185" s="23" t="s">
        <v>119</v>
      </c>
      <c r="E185" s="34">
        <v>12000000</v>
      </c>
      <c r="F185" s="34">
        <v>12000000</v>
      </c>
      <c r="G185" s="34">
        <v>12000000</v>
      </c>
      <c r="H185" s="34">
        <f t="shared" si="19"/>
        <v>0</v>
      </c>
      <c r="I185" s="35">
        <f t="shared" si="20"/>
        <v>100</v>
      </c>
      <c r="J185" s="34"/>
      <c r="K185" s="34">
        <f t="shared" si="21"/>
        <v>100</v>
      </c>
      <c r="L185" s="34"/>
    </row>
    <row r="186" spans="1:12" s="2" customFormat="1" ht="31.2">
      <c r="A186" s="33" t="s">
        <v>360</v>
      </c>
      <c r="B186" s="23" t="s">
        <v>92</v>
      </c>
      <c r="C186" s="53" t="s">
        <v>183</v>
      </c>
      <c r="D186" s="23" t="s">
        <v>26</v>
      </c>
      <c r="E186" s="31">
        <f>E187+E189+E191</f>
        <v>30219000</v>
      </c>
      <c r="F186" s="31">
        <f>F187+F189+F191</f>
        <v>35334333.289999999</v>
      </c>
      <c r="G186" s="31">
        <f>G187+G189+G191</f>
        <v>28811136.609999999</v>
      </c>
      <c r="H186" s="31">
        <f t="shared" si="19"/>
        <v>6523196.6799999997</v>
      </c>
      <c r="I186" s="32">
        <f t="shared" si="20"/>
        <v>95.34</v>
      </c>
      <c r="J186" s="31"/>
      <c r="K186" s="31">
        <f t="shared" si="21"/>
        <v>81.540000000000006</v>
      </c>
      <c r="L186" s="34"/>
    </row>
    <row r="187" spans="1:12" s="2" customFormat="1" ht="46.8">
      <c r="A187" s="24" t="s">
        <v>362</v>
      </c>
      <c r="B187" s="23" t="s">
        <v>92</v>
      </c>
      <c r="C187" s="23" t="s">
        <v>163</v>
      </c>
      <c r="D187" s="23" t="s">
        <v>26</v>
      </c>
      <c r="E187" s="34">
        <f>E188</f>
        <v>20907422.010000002</v>
      </c>
      <c r="F187" s="34">
        <f>F188</f>
        <v>25906770.789999999</v>
      </c>
      <c r="G187" s="34">
        <f>G188</f>
        <v>19383574.109999999</v>
      </c>
      <c r="H187" s="34">
        <f t="shared" si="19"/>
        <v>6523196.6799999997</v>
      </c>
      <c r="I187" s="35">
        <f t="shared" si="20"/>
        <v>92.71</v>
      </c>
      <c r="J187" s="34"/>
      <c r="K187" s="34">
        <f t="shared" si="21"/>
        <v>74.819999999999993</v>
      </c>
      <c r="L187" s="31"/>
    </row>
    <row r="188" spans="1:12" s="2" customFormat="1" ht="31.2">
      <c r="A188" s="36" t="s">
        <v>118</v>
      </c>
      <c r="B188" s="23" t="s">
        <v>92</v>
      </c>
      <c r="C188" s="23" t="s">
        <v>163</v>
      </c>
      <c r="D188" s="23" t="s">
        <v>119</v>
      </c>
      <c r="E188" s="34">
        <v>20907422.010000002</v>
      </c>
      <c r="F188" s="34">
        <v>25906770.789999999</v>
      </c>
      <c r="G188" s="34">
        <v>19383574.109999999</v>
      </c>
      <c r="H188" s="34">
        <f t="shared" si="19"/>
        <v>6523196.6799999997</v>
      </c>
      <c r="I188" s="35">
        <f t="shared" si="20"/>
        <v>92.71</v>
      </c>
      <c r="J188" s="34"/>
      <c r="K188" s="34">
        <f t="shared" si="21"/>
        <v>74.819999999999993</v>
      </c>
      <c r="L188" s="34"/>
    </row>
    <row r="189" spans="1:12" s="2" customFormat="1" ht="46.8">
      <c r="A189" s="52" t="s">
        <v>361</v>
      </c>
      <c r="B189" s="23" t="s">
        <v>92</v>
      </c>
      <c r="C189" s="53" t="s">
        <v>164</v>
      </c>
      <c r="D189" s="23" t="s">
        <v>26</v>
      </c>
      <c r="E189" s="34">
        <f>E190</f>
        <v>9065700</v>
      </c>
      <c r="F189" s="34">
        <f>F190</f>
        <v>9427562.5</v>
      </c>
      <c r="G189" s="34">
        <f>G190</f>
        <v>9427562.5</v>
      </c>
      <c r="H189" s="34">
        <f t="shared" si="19"/>
        <v>0</v>
      </c>
      <c r="I189" s="35">
        <f t="shared" si="20"/>
        <v>103.99</v>
      </c>
      <c r="J189" s="34"/>
      <c r="K189" s="34">
        <f t="shared" si="21"/>
        <v>100</v>
      </c>
      <c r="L189" s="34"/>
    </row>
    <row r="190" spans="1:12" s="2" customFormat="1" ht="31.2">
      <c r="A190" s="78" t="s">
        <v>118</v>
      </c>
      <c r="B190" s="23" t="s">
        <v>92</v>
      </c>
      <c r="C190" s="53" t="s">
        <v>164</v>
      </c>
      <c r="D190" s="23" t="s">
        <v>119</v>
      </c>
      <c r="E190" s="34">
        <v>9065700</v>
      </c>
      <c r="F190" s="34">
        <v>9427562.5</v>
      </c>
      <c r="G190" s="34">
        <v>9427562.5</v>
      </c>
      <c r="H190" s="34">
        <f t="shared" si="19"/>
        <v>0</v>
      </c>
      <c r="I190" s="35">
        <f t="shared" si="20"/>
        <v>103.99</v>
      </c>
      <c r="J190" s="34"/>
      <c r="K190" s="34">
        <f t="shared" si="21"/>
        <v>100</v>
      </c>
      <c r="L190" s="34"/>
    </row>
    <row r="191" spans="1:12" s="2" customFormat="1" ht="109.2">
      <c r="A191" s="79" t="s">
        <v>457</v>
      </c>
      <c r="B191" s="23" t="s">
        <v>92</v>
      </c>
      <c r="C191" s="23" t="s">
        <v>458</v>
      </c>
      <c r="D191" s="23" t="s">
        <v>26</v>
      </c>
      <c r="E191" s="34">
        <f>E192</f>
        <v>245877.99</v>
      </c>
      <c r="F191" s="34">
        <f>F192</f>
        <v>0</v>
      </c>
      <c r="G191" s="34">
        <f>G192</f>
        <v>0</v>
      </c>
      <c r="H191" s="34">
        <f t="shared" si="19"/>
        <v>0</v>
      </c>
      <c r="I191" s="35">
        <f t="shared" si="20"/>
        <v>0</v>
      </c>
      <c r="J191" s="34"/>
      <c r="K191" s="34" t="e">
        <f t="shared" si="21"/>
        <v>#DIV/0!</v>
      </c>
      <c r="L191" s="34"/>
    </row>
    <row r="192" spans="1:12" s="1" customFormat="1" ht="124.8">
      <c r="A192" s="36" t="s">
        <v>434</v>
      </c>
      <c r="B192" s="23" t="s">
        <v>92</v>
      </c>
      <c r="C192" s="23" t="s">
        <v>458</v>
      </c>
      <c r="D192" s="23" t="s">
        <v>126</v>
      </c>
      <c r="E192" s="34">
        <f>245877.99</f>
        <v>245877.99</v>
      </c>
      <c r="F192" s="34">
        <f>245877.99-245877.99</f>
        <v>0</v>
      </c>
      <c r="G192" s="34">
        <f>245877.99-245877.99</f>
        <v>0</v>
      </c>
      <c r="H192" s="34">
        <f t="shared" si="19"/>
        <v>0</v>
      </c>
      <c r="I192" s="35">
        <f t="shared" si="20"/>
        <v>0</v>
      </c>
      <c r="J192" s="45" t="s">
        <v>575</v>
      </c>
      <c r="K192" s="34" t="e">
        <f t="shared" si="21"/>
        <v>#DIV/0!</v>
      </c>
      <c r="L192" s="34"/>
    </row>
    <row r="193" spans="1:12" s="1" customFormat="1" ht="46.8">
      <c r="A193" s="23" t="s">
        <v>349</v>
      </c>
      <c r="B193" s="33" t="s">
        <v>92</v>
      </c>
      <c r="C193" s="33" t="s">
        <v>148</v>
      </c>
      <c r="D193" s="33" t="s">
        <v>26</v>
      </c>
      <c r="E193" s="34">
        <f t="shared" ref="E193:G196" si="27">E194</f>
        <v>0</v>
      </c>
      <c r="F193" s="34">
        <f t="shared" si="27"/>
        <v>0</v>
      </c>
      <c r="G193" s="34">
        <f t="shared" si="27"/>
        <v>0</v>
      </c>
      <c r="H193" s="34">
        <f t="shared" si="19"/>
        <v>0</v>
      </c>
      <c r="I193" s="35" t="e">
        <f t="shared" si="20"/>
        <v>#DIV/0!</v>
      </c>
      <c r="J193" s="34"/>
      <c r="K193" s="34" t="e">
        <f t="shared" si="21"/>
        <v>#DIV/0!</v>
      </c>
      <c r="L193" s="34"/>
    </row>
    <row r="194" spans="1:12" s="2" customFormat="1" ht="31.2">
      <c r="A194" s="24" t="s">
        <v>347</v>
      </c>
      <c r="B194" s="33" t="s">
        <v>92</v>
      </c>
      <c r="C194" s="33" t="s">
        <v>277</v>
      </c>
      <c r="D194" s="33" t="s">
        <v>26</v>
      </c>
      <c r="E194" s="34">
        <f t="shared" si="27"/>
        <v>0</v>
      </c>
      <c r="F194" s="34">
        <f t="shared" si="27"/>
        <v>0</v>
      </c>
      <c r="G194" s="34">
        <f t="shared" si="27"/>
        <v>0</v>
      </c>
      <c r="H194" s="34">
        <f t="shared" si="19"/>
        <v>0</v>
      </c>
      <c r="I194" s="35" t="e">
        <f t="shared" si="20"/>
        <v>#DIV/0!</v>
      </c>
      <c r="J194" s="34"/>
      <c r="K194" s="34" t="e">
        <f t="shared" si="21"/>
        <v>#DIV/0!</v>
      </c>
      <c r="L194" s="34"/>
    </row>
    <row r="195" spans="1:12" s="2" customFormat="1" ht="15.6">
      <c r="A195" s="24" t="s">
        <v>348</v>
      </c>
      <c r="B195" s="33" t="s">
        <v>92</v>
      </c>
      <c r="C195" s="33" t="s">
        <v>274</v>
      </c>
      <c r="D195" s="33" t="s">
        <v>26</v>
      </c>
      <c r="E195" s="34">
        <f t="shared" si="27"/>
        <v>0</v>
      </c>
      <c r="F195" s="34">
        <f t="shared" si="27"/>
        <v>0</v>
      </c>
      <c r="G195" s="34">
        <f t="shared" si="27"/>
        <v>0</v>
      </c>
      <c r="H195" s="34">
        <f t="shared" si="19"/>
        <v>0</v>
      </c>
      <c r="I195" s="35" t="e">
        <f t="shared" si="20"/>
        <v>#DIV/0!</v>
      </c>
      <c r="J195" s="34"/>
      <c r="K195" s="34" t="e">
        <f t="shared" si="21"/>
        <v>#DIV/0!</v>
      </c>
      <c r="L195" s="34"/>
    </row>
    <row r="196" spans="1:12" s="2" customFormat="1" ht="31.2">
      <c r="A196" s="52" t="s">
        <v>350</v>
      </c>
      <c r="B196" s="33" t="s">
        <v>92</v>
      </c>
      <c r="C196" s="24" t="s">
        <v>215</v>
      </c>
      <c r="D196" s="54" t="s">
        <v>26</v>
      </c>
      <c r="E196" s="34">
        <f t="shared" si="27"/>
        <v>0</v>
      </c>
      <c r="F196" s="34">
        <f t="shared" si="27"/>
        <v>0</v>
      </c>
      <c r="G196" s="34">
        <f t="shared" si="27"/>
        <v>0</v>
      </c>
      <c r="H196" s="34">
        <f t="shared" si="19"/>
        <v>0</v>
      </c>
      <c r="I196" s="35" t="e">
        <f t="shared" si="20"/>
        <v>#DIV/0!</v>
      </c>
      <c r="J196" s="34"/>
      <c r="K196" s="34" t="e">
        <f t="shared" si="21"/>
        <v>#DIV/0!</v>
      </c>
      <c r="L196" s="34"/>
    </row>
    <row r="197" spans="1:12" s="1" customFormat="1" ht="124.8">
      <c r="A197" s="36" t="s">
        <v>118</v>
      </c>
      <c r="B197" s="33" t="s">
        <v>92</v>
      </c>
      <c r="C197" s="24" t="s">
        <v>215</v>
      </c>
      <c r="D197" s="54" t="s">
        <v>119</v>
      </c>
      <c r="E197" s="34">
        <v>0</v>
      </c>
      <c r="F197" s="34">
        <v>0</v>
      </c>
      <c r="G197" s="34">
        <v>0</v>
      </c>
      <c r="H197" s="34">
        <f t="shared" si="19"/>
        <v>0</v>
      </c>
      <c r="I197" s="35" t="e">
        <f t="shared" si="20"/>
        <v>#DIV/0!</v>
      </c>
      <c r="J197" s="45" t="s">
        <v>576</v>
      </c>
      <c r="K197" s="34" t="e">
        <f t="shared" si="21"/>
        <v>#DIV/0!</v>
      </c>
      <c r="L197" s="34"/>
    </row>
    <row r="198" spans="1:12" s="1" customFormat="1" ht="15.6">
      <c r="A198" s="72" t="s">
        <v>289</v>
      </c>
      <c r="B198" s="33" t="s">
        <v>290</v>
      </c>
      <c r="C198" s="51" t="s">
        <v>147</v>
      </c>
      <c r="D198" s="80" t="s">
        <v>26</v>
      </c>
      <c r="E198" s="34">
        <f t="shared" ref="E198:G202" si="28">E199</f>
        <v>4016.6</v>
      </c>
      <c r="F198" s="34">
        <f t="shared" si="28"/>
        <v>4016</v>
      </c>
      <c r="G198" s="34">
        <f t="shared" si="28"/>
        <v>4016</v>
      </c>
      <c r="H198" s="34">
        <f t="shared" si="19"/>
        <v>0</v>
      </c>
      <c r="I198" s="35">
        <f t="shared" si="20"/>
        <v>99.99</v>
      </c>
      <c r="J198" s="34"/>
      <c r="K198" s="34">
        <f t="shared" si="21"/>
        <v>100</v>
      </c>
      <c r="L198" s="45"/>
    </row>
    <row r="199" spans="1:12" s="1" customFormat="1" ht="62.4">
      <c r="A199" s="33" t="s">
        <v>363</v>
      </c>
      <c r="B199" s="33" t="s">
        <v>290</v>
      </c>
      <c r="C199" s="53" t="s">
        <v>167</v>
      </c>
      <c r="D199" s="80" t="s">
        <v>26</v>
      </c>
      <c r="E199" s="34">
        <f t="shared" si="28"/>
        <v>4016.6</v>
      </c>
      <c r="F199" s="34">
        <f t="shared" si="28"/>
        <v>4016</v>
      </c>
      <c r="G199" s="34">
        <f t="shared" si="28"/>
        <v>4016</v>
      </c>
      <c r="H199" s="34">
        <f t="shared" si="19"/>
        <v>0</v>
      </c>
      <c r="I199" s="35">
        <f t="shared" si="20"/>
        <v>99.99</v>
      </c>
      <c r="J199" s="34"/>
      <c r="K199" s="34">
        <f t="shared" si="21"/>
        <v>100</v>
      </c>
      <c r="L199" s="34"/>
    </row>
    <row r="200" spans="1:12" s="1" customFormat="1" ht="46.8">
      <c r="A200" s="33" t="s">
        <v>364</v>
      </c>
      <c r="B200" s="33" t="s">
        <v>290</v>
      </c>
      <c r="C200" s="53" t="s">
        <v>291</v>
      </c>
      <c r="D200" s="80" t="s">
        <v>26</v>
      </c>
      <c r="E200" s="34">
        <f t="shared" si="28"/>
        <v>4016.6</v>
      </c>
      <c r="F200" s="34">
        <f t="shared" si="28"/>
        <v>4016</v>
      </c>
      <c r="G200" s="34">
        <f t="shared" si="28"/>
        <v>4016</v>
      </c>
      <c r="H200" s="34">
        <f t="shared" si="19"/>
        <v>0</v>
      </c>
      <c r="I200" s="35">
        <f t="shared" si="20"/>
        <v>99.99</v>
      </c>
      <c r="J200" s="34"/>
      <c r="K200" s="34">
        <f t="shared" si="21"/>
        <v>100</v>
      </c>
      <c r="L200" s="34"/>
    </row>
    <row r="201" spans="1:12" s="1" customFormat="1" ht="31.2">
      <c r="A201" s="52" t="s">
        <v>292</v>
      </c>
      <c r="B201" s="33" t="s">
        <v>290</v>
      </c>
      <c r="C201" s="53" t="s">
        <v>293</v>
      </c>
      <c r="D201" s="80" t="s">
        <v>26</v>
      </c>
      <c r="E201" s="34">
        <f t="shared" si="28"/>
        <v>4016.6</v>
      </c>
      <c r="F201" s="34">
        <f t="shared" si="28"/>
        <v>4016</v>
      </c>
      <c r="G201" s="34">
        <f t="shared" si="28"/>
        <v>4016</v>
      </c>
      <c r="H201" s="34">
        <f t="shared" ref="H201:H264" si="29">$F201-$G201</f>
        <v>0</v>
      </c>
      <c r="I201" s="35">
        <f t="shared" ref="I201:I264" si="30">$G201/$E201*100</f>
        <v>99.99</v>
      </c>
      <c r="J201" s="34"/>
      <c r="K201" s="34">
        <f t="shared" ref="K201:K264" si="31">$G201/$F201*100</f>
        <v>100</v>
      </c>
      <c r="L201" s="31"/>
    </row>
    <row r="202" spans="1:12" s="2" customFormat="1" ht="31.2">
      <c r="A202" s="52" t="s">
        <v>294</v>
      </c>
      <c r="B202" s="33" t="s">
        <v>290</v>
      </c>
      <c r="C202" s="53" t="s">
        <v>504</v>
      </c>
      <c r="D202" s="80" t="s">
        <v>26</v>
      </c>
      <c r="E202" s="34">
        <f t="shared" si="28"/>
        <v>4016.6</v>
      </c>
      <c r="F202" s="34">
        <f t="shared" si="28"/>
        <v>4016</v>
      </c>
      <c r="G202" s="34">
        <f t="shared" si="28"/>
        <v>4016</v>
      </c>
      <c r="H202" s="34">
        <f t="shared" si="29"/>
        <v>0</v>
      </c>
      <c r="I202" s="35">
        <f t="shared" si="30"/>
        <v>99.99</v>
      </c>
      <c r="J202" s="34"/>
      <c r="K202" s="34">
        <f t="shared" si="31"/>
        <v>100</v>
      </c>
      <c r="L202" s="31"/>
    </row>
    <row r="203" spans="1:12" s="2" customFormat="1" ht="31.2">
      <c r="A203" s="111" t="s">
        <v>118</v>
      </c>
      <c r="B203" s="33" t="s">
        <v>290</v>
      </c>
      <c r="C203" s="53" t="s">
        <v>504</v>
      </c>
      <c r="D203" s="80" t="s">
        <v>119</v>
      </c>
      <c r="E203" s="34">
        <f>4016.6</f>
        <v>4016.6</v>
      </c>
      <c r="F203" s="34">
        <f>4016.6-0.6</f>
        <v>4016</v>
      </c>
      <c r="G203" s="34">
        <f>4016.6-0.6</f>
        <v>4016</v>
      </c>
      <c r="H203" s="34">
        <f t="shared" si="29"/>
        <v>0</v>
      </c>
      <c r="I203" s="35">
        <f t="shared" si="30"/>
        <v>99.99</v>
      </c>
      <c r="J203" s="34"/>
      <c r="K203" s="34">
        <f t="shared" si="31"/>
        <v>100</v>
      </c>
      <c r="L203" s="34"/>
    </row>
    <row r="204" spans="1:12" s="2" customFormat="1" ht="15.6">
      <c r="A204" s="81" t="s">
        <v>136</v>
      </c>
      <c r="B204" s="82" t="s">
        <v>137</v>
      </c>
      <c r="C204" s="83" t="s">
        <v>147</v>
      </c>
      <c r="D204" s="84" t="s">
        <v>26</v>
      </c>
      <c r="E204" s="29">
        <f>E205+E227+E299+E264</f>
        <v>71414481.079999998</v>
      </c>
      <c r="F204" s="29">
        <f>F205+F227+F299+F264</f>
        <v>115829960.39</v>
      </c>
      <c r="G204" s="29">
        <f>G205+G227+G299+G264</f>
        <v>105464180.23</v>
      </c>
      <c r="H204" s="29">
        <f t="shared" si="29"/>
        <v>10365780.16</v>
      </c>
      <c r="I204" s="30">
        <f t="shared" si="30"/>
        <v>147.68</v>
      </c>
      <c r="J204" s="29"/>
      <c r="K204" s="29">
        <f t="shared" si="31"/>
        <v>91.05</v>
      </c>
      <c r="L204" s="34"/>
    </row>
    <row r="205" spans="1:12" s="1" customFormat="1" ht="15.6" outlineLevel="5">
      <c r="A205" s="85" t="s">
        <v>138</v>
      </c>
      <c r="B205" s="23" t="s">
        <v>139</v>
      </c>
      <c r="C205" s="86" t="s">
        <v>147</v>
      </c>
      <c r="D205" s="23" t="s">
        <v>26</v>
      </c>
      <c r="E205" s="31">
        <f>E206+E220</f>
        <v>11691200.470000001</v>
      </c>
      <c r="F205" s="31">
        <f>F206+F220</f>
        <v>17654385.399999999</v>
      </c>
      <c r="G205" s="31">
        <f>G206+G220</f>
        <v>16184726.01</v>
      </c>
      <c r="H205" s="31">
        <f t="shared" si="29"/>
        <v>1469659.39</v>
      </c>
      <c r="I205" s="32">
        <f t="shared" si="30"/>
        <v>138.44</v>
      </c>
      <c r="J205" s="31"/>
      <c r="K205" s="31">
        <f t="shared" si="31"/>
        <v>91.68</v>
      </c>
      <c r="L205" s="31"/>
    </row>
    <row r="206" spans="1:12" s="1" customFormat="1" ht="62.4" outlineLevel="5">
      <c r="A206" s="87" t="s">
        <v>376</v>
      </c>
      <c r="B206" s="23" t="s">
        <v>139</v>
      </c>
      <c r="C206" s="86" t="s">
        <v>168</v>
      </c>
      <c r="D206" s="23" t="s">
        <v>26</v>
      </c>
      <c r="E206" s="31">
        <f>E207</f>
        <v>7691200.4699999997</v>
      </c>
      <c r="F206" s="31">
        <f>F207</f>
        <v>9103460.2300000004</v>
      </c>
      <c r="G206" s="31">
        <f>G207</f>
        <v>8518995.2400000002</v>
      </c>
      <c r="H206" s="31">
        <f t="shared" si="29"/>
        <v>584464.99</v>
      </c>
      <c r="I206" s="32">
        <f t="shared" si="30"/>
        <v>110.76</v>
      </c>
      <c r="J206" s="31"/>
      <c r="K206" s="31">
        <f t="shared" si="31"/>
        <v>93.58</v>
      </c>
      <c r="L206" s="31"/>
    </row>
    <row r="207" spans="1:12" s="1" customFormat="1" ht="46.8" outlineLevel="5">
      <c r="A207" s="88" t="s">
        <v>423</v>
      </c>
      <c r="B207" s="23" t="s">
        <v>139</v>
      </c>
      <c r="C207" s="53" t="s">
        <v>176</v>
      </c>
      <c r="D207" s="54" t="s">
        <v>26</v>
      </c>
      <c r="E207" s="34">
        <f>E208+E216</f>
        <v>7691200.4699999997</v>
      </c>
      <c r="F207" s="34">
        <f>F208+F216</f>
        <v>9103460.2300000004</v>
      </c>
      <c r="G207" s="34">
        <f>G208+G216</f>
        <v>8518995.2400000002</v>
      </c>
      <c r="H207" s="34">
        <f t="shared" si="29"/>
        <v>584464.99</v>
      </c>
      <c r="I207" s="35">
        <f t="shared" si="30"/>
        <v>110.76</v>
      </c>
      <c r="J207" s="34"/>
      <c r="K207" s="34">
        <f t="shared" si="31"/>
        <v>93.58</v>
      </c>
      <c r="L207" s="34"/>
    </row>
    <row r="208" spans="1:12" s="1" customFormat="1" ht="124.8" outlineLevel="5">
      <c r="A208" s="52" t="s">
        <v>424</v>
      </c>
      <c r="B208" s="23" t="s">
        <v>139</v>
      </c>
      <c r="C208" s="53" t="s">
        <v>425</v>
      </c>
      <c r="D208" s="54" t="s">
        <v>26</v>
      </c>
      <c r="E208" s="34">
        <f>E209+E211+E214</f>
        <v>4487200.47</v>
      </c>
      <c r="F208" s="34">
        <f>F209+F211+F214</f>
        <v>4964291.7</v>
      </c>
      <c r="G208" s="34">
        <f>G209+G211+G214</f>
        <v>4749680.5599999996</v>
      </c>
      <c r="H208" s="34">
        <f t="shared" si="29"/>
        <v>214611.14</v>
      </c>
      <c r="I208" s="35">
        <f t="shared" si="30"/>
        <v>105.85</v>
      </c>
      <c r="J208" s="34"/>
      <c r="K208" s="34">
        <f t="shared" si="31"/>
        <v>95.68</v>
      </c>
      <c r="L208" s="45" t="s">
        <v>575</v>
      </c>
    </row>
    <row r="209" spans="1:12" s="1" customFormat="1" ht="31.2">
      <c r="A209" s="88" t="s">
        <v>191</v>
      </c>
      <c r="B209" s="23" t="s">
        <v>139</v>
      </c>
      <c r="C209" s="52" t="s">
        <v>192</v>
      </c>
      <c r="D209" s="54" t="s">
        <v>26</v>
      </c>
      <c r="E209" s="34">
        <f>E210</f>
        <v>850000</v>
      </c>
      <c r="F209" s="34">
        <f>F210</f>
        <v>55922.44</v>
      </c>
      <c r="G209" s="34">
        <f>G210</f>
        <v>50520.65</v>
      </c>
      <c r="H209" s="34">
        <f t="shared" si="29"/>
        <v>5401.79</v>
      </c>
      <c r="I209" s="35">
        <f t="shared" si="30"/>
        <v>5.94</v>
      </c>
      <c r="J209" s="34"/>
      <c r="K209" s="34">
        <f t="shared" si="31"/>
        <v>90.34</v>
      </c>
      <c r="L209" s="34"/>
    </row>
    <row r="210" spans="1:12" s="1" customFormat="1" ht="124.8">
      <c r="A210" s="24" t="s">
        <v>104</v>
      </c>
      <c r="B210" s="23" t="s">
        <v>139</v>
      </c>
      <c r="C210" s="52" t="s">
        <v>192</v>
      </c>
      <c r="D210" s="54" t="s">
        <v>82</v>
      </c>
      <c r="E210" s="31">
        <f>850000</f>
        <v>850000</v>
      </c>
      <c r="F210" s="31">
        <v>55922.44</v>
      </c>
      <c r="G210" s="31">
        <v>50520.65</v>
      </c>
      <c r="H210" s="31">
        <f t="shared" si="29"/>
        <v>5401.79</v>
      </c>
      <c r="I210" s="32">
        <f t="shared" si="30"/>
        <v>5.94</v>
      </c>
      <c r="J210" s="31"/>
      <c r="K210" s="31">
        <f t="shared" si="31"/>
        <v>90.34</v>
      </c>
      <c r="L210" s="45" t="s">
        <v>575</v>
      </c>
    </row>
    <row r="211" spans="1:12" s="1" customFormat="1" ht="46.8">
      <c r="A211" s="88" t="s">
        <v>428</v>
      </c>
      <c r="B211" s="23" t="s">
        <v>139</v>
      </c>
      <c r="C211" s="52" t="s">
        <v>427</v>
      </c>
      <c r="D211" s="54" t="s">
        <v>26</v>
      </c>
      <c r="E211" s="34">
        <f>E212+E213</f>
        <v>2637200.4700000002</v>
      </c>
      <c r="F211" s="34">
        <f>F212+F213</f>
        <v>4908369.26</v>
      </c>
      <c r="G211" s="34">
        <f>G212+G213</f>
        <v>4699159.91</v>
      </c>
      <c r="H211" s="34">
        <f t="shared" si="29"/>
        <v>209209.35</v>
      </c>
      <c r="I211" s="35">
        <f t="shared" si="30"/>
        <v>178.19</v>
      </c>
      <c r="J211" s="34"/>
      <c r="K211" s="34">
        <f t="shared" si="31"/>
        <v>95.74</v>
      </c>
      <c r="L211" s="34"/>
    </row>
    <row r="212" spans="1:12" s="1" customFormat="1" ht="124.8">
      <c r="A212" s="24" t="s">
        <v>242</v>
      </c>
      <c r="B212" s="23" t="s">
        <v>139</v>
      </c>
      <c r="C212" s="52" t="s">
        <v>427</v>
      </c>
      <c r="D212" s="54" t="s">
        <v>109</v>
      </c>
      <c r="E212" s="34">
        <f>100000</f>
        <v>100000</v>
      </c>
      <c r="F212" s="34">
        <v>277045.36</v>
      </c>
      <c r="G212" s="34">
        <v>271745.21999999997</v>
      </c>
      <c r="H212" s="34">
        <f t="shared" si="29"/>
        <v>5300.14</v>
      </c>
      <c r="I212" s="35">
        <f t="shared" si="30"/>
        <v>271.75</v>
      </c>
      <c r="J212" s="34"/>
      <c r="K212" s="34">
        <f t="shared" si="31"/>
        <v>98.09</v>
      </c>
      <c r="L212" s="45" t="s">
        <v>575</v>
      </c>
    </row>
    <row r="213" spans="1:12" s="2" customFormat="1" ht="46.8">
      <c r="A213" s="79" t="s">
        <v>104</v>
      </c>
      <c r="B213" s="23" t="s">
        <v>139</v>
      </c>
      <c r="C213" s="52" t="s">
        <v>427</v>
      </c>
      <c r="D213" s="54" t="s">
        <v>82</v>
      </c>
      <c r="E213" s="31">
        <f>2537200.47</f>
        <v>2537200.4700000002</v>
      </c>
      <c r="F213" s="31">
        <f>2537200.47-200000+2000000+294123.43</f>
        <v>4631323.9000000004</v>
      </c>
      <c r="G213" s="31">
        <v>4427414.6900000004</v>
      </c>
      <c r="H213" s="31">
        <f t="shared" si="29"/>
        <v>203909.21</v>
      </c>
      <c r="I213" s="32">
        <f t="shared" si="30"/>
        <v>174.5</v>
      </c>
      <c r="J213" s="31"/>
      <c r="K213" s="31">
        <f t="shared" si="31"/>
        <v>95.6</v>
      </c>
      <c r="L213" s="34"/>
    </row>
    <row r="214" spans="1:12" s="1" customFormat="1" ht="46.8" outlineLevel="5">
      <c r="A214" s="52" t="s">
        <v>506</v>
      </c>
      <c r="B214" s="23" t="s">
        <v>139</v>
      </c>
      <c r="C214" s="52" t="s">
        <v>426</v>
      </c>
      <c r="D214" s="54" t="s">
        <v>26</v>
      </c>
      <c r="E214" s="34">
        <f>E215</f>
        <v>1000000</v>
      </c>
      <c r="F214" s="34">
        <f>F215</f>
        <v>0</v>
      </c>
      <c r="G214" s="34">
        <f>G215</f>
        <v>0</v>
      </c>
      <c r="H214" s="34">
        <f t="shared" si="29"/>
        <v>0</v>
      </c>
      <c r="I214" s="35">
        <f t="shared" si="30"/>
        <v>0</v>
      </c>
      <c r="J214" s="34"/>
      <c r="K214" s="34" t="e">
        <f t="shared" si="31"/>
        <v>#DIV/0!</v>
      </c>
      <c r="L214" s="34"/>
    </row>
    <row r="215" spans="1:12" s="1" customFormat="1" ht="31.2" outlineLevel="5">
      <c r="A215" s="24" t="s">
        <v>129</v>
      </c>
      <c r="B215" s="23" t="s">
        <v>139</v>
      </c>
      <c r="C215" s="52" t="s">
        <v>426</v>
      </c>
      <c r="D215" s="54" t="s">
        <v>130</v>
      </c>
      <c r="E215" s="34">
        <f>1000000</f>
        <v>1000000</v>
      </c>
      <c r="F215" s="34">
        <f>1000000-900000-100000</f>
        <v>0</v>
      </c>
      <c r="G215" s="34">
        <f>1000000-900000-100000</f>
        <v>0</v>
      </c>
      <c r="H215" s="34">
        <f t="shared" si="29"/>
        <v>0</v>
      </c>
      <c r="I215" s="35">
        <f t="shared" si="30"/>
        <v>0</v>
      </c>
      <c r="J215" s="34"/>
      <c r="K215" s="34" t="e">
        <f t="shared" si="31"/>
        <v>#DIV/0!</v>
      </c>
      <c r="L215" s="34"/>
    </row>
    <row r="216" spans="1:12" s="1" customFormat="1" ht="31.2">
      <c r="A216" s="89" t="s">
        <v>429</v>
      </c>
      <c r="B216" s="23" t="s">
        <v>139</v>
      </c>
      <c r="C216" s="53" t="s">
        <v>430</v>
      </c>
      <c r="D216" s="54" t="s">
        <v>26</v>
      </c>
      <c r="E216" s="34">
        <f>E218</f>
        <v>3204000</v>
      </c>
      <c r="F216" s="34">
        <f>F218</f>
        <v>4139168.53</v>
      </c>
      <c r="G216" s="34">
        <f>G218</f>
        <v>3769314.68</v>
      </c>
      <c r="H216" s="34">
        <f t="shared" si="29"/>
        <v>369853.85</v>
      </c>
      <c r="I216" s="35">
        <f t="shared" si="30"/>
        <v>117.64</v>
      </c>
      <c r="J216" s="34"/>
      <c r="K216" s="34">
        <f t="shared" si="31"/>
        <v>91.06</v>
      </c>
      <c r="L216" s="34"/>
    </row>
    <row r="217" spans="1:12" s="1" customFormat="1" ht="46.8">
      <c r="A217" s="52" t="s">
        <v>433</v>
      </c>
      <c r="B217" s="23" t="s">
        <v>139</v>
      </c>
      <c r="C217" s="90" t="s">
        <v>431</v>
      </c>
      <c r="D217" s="54" t="s">
        <v>26</v>
      </c>
      <c r="E217" s="34">
        <f t="shared" ref="E217:G218" si="32">E218</f>
        <v>3204000</v>
      </c>
      <c r="F217" s="34">
        <f t="shared" si="32"/>
        <v>4139168.53</v>
      </c>
      <c r="G217" s="34">
        <f t="shared" si="32"/>
        <v>3769314.68</v>
      </c>
      <c r="H217" s="34">
        <f t="shared" si="29"/>
        <v>369853.85</v>
      </c>
      <c r="I217" s="35">
        <f t="shared" si="30"/>
        <v>117.64</v>
      </c>
      <c r="J217" s="34"/>
      <c r="K217" s="34">
        <f t="shared" si="31"/>
        <v>91.06</v>
      </c>
      <c r="L217" s="34"/>
    </row>
    <row r="218" spans="1:12" s="1" customFormat="1" ht="46.8">
      <c r="A218" s="72" t="s">
        <v>143</v>
      </c>
      <c r="B218" s="23" t="s">
        <v>139</v>
      </c>
      <c r="C218" s="91" t="s">
        <v>432</v>
      </c>
      <c r="D218" s="54" t="s">
        <v>26</v>
      </c>
      <c r="E218" s="34">
        <f t="shared" si="32"/>
        <v>3204000</v>
      </c>
      <c r="F218" s="34">
        <f t="shared" si="32"/>
        <v>4139168.53</v>
      </c>
      <c r="G218" s="34">
        <f t="shared" si="32"/>
        <v>3769314.68</v>
      </c>
      <c r="H218" s="34">
        <f t="shared" si="29"/>
        <v>369853.85</v>
      </c>
      <c r="I218" s="35">
        <f t="shared" si="30"/>
        <v>117.64</v>
      </c>
      <c r="J218" s="34"/>
      <c r="K218" s="34">
        <f t="shared" si="31"/>
        <v>91.06</v>
      </c>
      <c r="L218" s="34"/>
    </row>
    <row r="219" spans="1:12" s="1" customFormat="1" ht="31.2">
      <c r="A219" s="36" t="s">
        <v>118</v>
      </c>
      <c r="B219" s="23" t="s">
        <v>139</v>
      </c>
      <c r="C219" s="91" t="s">
        <v>432</v>
      </c>
      <c r="D219" s="54" t="s">
        <v>119</v>
      </c>
      <c r="E219" s="34">
        <f>3204000</f>
        <v>3204000</v>
      </c>
      <c r="F219" s="34">
        <f>3204000+300000+635168.53</f>
        <v>4139168.53</v>
      </c>
      <c r="G219" s="34">
        <v>3769314.68</v>
      </c>
      <c r="H219" s="34">
        <f t="shared" si="29"/>
        <v>369853.85</v>
      </c>
      <c r="I219" s="35">
        <f t="shared" si="30"/>
        <v>117.64</v>
      </c>
      <c r="J219" s="34"/>
      <c r="K219" s="34">
        <f t="shared" si="31"/>
        <v>91.06</v>
      </c>
      <c r="L219" s="34"/>
    </row>
    <row r="220" spans="1:12" s="1" customFormat="1" ht="46.8">
      <c r="A220" s="23" t="s">
        <v>349</v>
      </c>
      <c r="B220" s="33" t="s">
        <v>139</v>
      </c>
      <c r="C220" s="92" t="s">
        <v>148</v>
      </c>
      <c r="D220" s="33" t="s">
        <v>26</v>
      </c>
      <c r="E220" s="73">
        <f t="shared" ref="E220:G221" si="33">E221</f>
        <v>4000000</v>
      </c>
      <c r="F220" s="73">
        <f t="shared" si="33"/>
        <v>8550925.1699999999</v>
      </c>
      <c r="G220" s="73">
        <f t="shared" si="33"/>
        <v>7665730.7699999996</v>
      </c>
      <c r="H220" s="73">
        <f t="shared" si="29"/>
        <v>885194.4</v>
      </c>
      <c r="I220" s="74">
        <f t="shared" si="30"/>
        <v>191.64</v>
      </c>
      <c r="J220" s="34"/>
      <c r="K220" s="34">
        <f t="shared" si="31"/>
        <v>89.65</v>
      </c>
      <c r="L220" s="34"/>
    </row>
    <row r="221" spans="1:12" s="2" customFormat="1" ht="31.2">
      <c r="A221" s="79" t="s">
        <v>347</v>
      </c>
      <c r="B221" s="33" t="s">
        <v>139</v>
      </c>
      <c r="C221" s="33" t="s">
        <v>277</v>
      </c>
      <c r="D221" s="33" t="s">
        <v>26</v>
      </c>
      <c r="E221" s="34">
        <f t="shared" si="33"/>
        <v>4000000</v>
      </c>
      <c r="F221" s="34">
        <f t="shared" si="33"/>
        <v>8550925.1699999999</v>
      </c>
      <c r="G221" s="34">
        <f t="shared" si="33"/>
        <v>7665730.7699999996</v>
      </c>
      <c r="H221" s="34">
        <f t="shared" si="29"/>
        <v>885194.4</v>
      </c>
      <c r="I221" s="35">
        <f t="shared" si="30"/>
        <v>191.64</v>
      </c>
      <c r="J221" s="34"/>
      <c r="K221" s="34">
        <f t="shared" si="31"/>
        <v>89.65</v>
      </c>
      <c r="L221" s="34"/>
    </row>
    <row r="222" spans="1:12" s="1" customFormat="1" ht="15.6">
      <c r="A222" s="24" t="s">
        <v>348</v>
      </c>
      <c r="B222" s="33" t="s">
        <v>139</v>
      </c>
      <c r="C222" s="33" t="s">
        <v>274</v>
      </c>
      <c r="D222" s="33" t="s">
        <v>26</v>
      </c>
      <c r="E222" s="34">
        <f>E223+E225</f>
        <v>4000000</v>
      </c>
      <c r="F222" s="34">
        <f>F223+F225</f>
        <v>8550925.1699999999</v>
      </c>
      <c r="G222" s="34">
        <f>G223+G225</f>
        <v>7665730.7699999996</v>
      </c>
      <c r="H222" s="34">
        <f t="shared" si="29"/>
        <v>885194.4</v>
      </c>
      <c r="I222" s="35">
        <f t="shared" si="30"/>
        <v>191.64</v>
      </c>
      <c r="J222" s="34"/>
      <c r="K222" s="34">
        <f t="shared" si="31"/>
        <v>89.65</v>
      </c>
      <c r="L222" s="34"/>
    </row>
    <row r="223" spans="1:12" s="1" customFormat="1" ht="31.2">
      <c r="A223" s="52" t="s">
        <v>350</v>
      </c>
      <c r="B223" s="23" t="s">
        <v>139</v>
      </c>
      <c r="C223" s="24" t="s">
        <v>215</v>
      </c>
      <c r="D223" s="54" t="s">
        <v>26</v>
      </c>
      <c r="E223" s="34">
        <f>E224</f>
        <v>0</v>
      </c>
      <c r="F223" s="34">
        <f>F224</f>
        <v>410517</v>
      </c>
      <c r="G223" s="34">
        <f>G224</f>
        <v>410517</v>
      </c>
      <c r="H223" s="34">
        <f t="shared" si="29"/>
        <v>0</v>
      </c>
      <c r="I223" s="35" t="e">
        <f t="shared" si="30"/>
        <v>#DIV/0!</v>
      </c>
      <c r="J223" s="34"/>
      <c r="K223" s="34">
        <f t="shared" si="31"/>
        <v>100</v>
      </c>
      <c r="L223" s="34"/>
    </row>
    <row r="224" spans="1:12" s="2" customFormat="1" ht="124.8">
      <c r="A224" s="36" t="s">
        <v>118</v>
      </c>
      <c r="B224" s="23" t="s">
        <v>139</v>
      </c>
      <c r="C224" s="24" t="s">
        <v>215</v>
      </c>
      <c r="D224" s="54" t="s">
        <v>119</v>
      </c>
      <c r="E224" s="34">
        <v>0</v>
      </c>
      <c r="F224" s="34">
        <v>410517</v>
      </c>
      <c r="G224" s="34">
        <v>410517</v>
      </c>
      <c r="H224" s="34">
        <f t="shared" si="29"/>
        <v>0</v>
      </c>
      <c r="I224" s="35" t="e">
        <f t="shared" si="30"/>
        <v>#DIV/0!</v>
      </c>
      <c r="J224" s="45" t="s">
        <v>576</v>
      </c>
      <c r="K224" s="34">
        <f t="shared" si="31"/>
        <v>100</v>
      </c>
      <c r="L224" s="34"/>
    </row>
    <row r="225" spans="1:12" s="2" customFormat="1" ht="31.2">
      <c r="A225" s="52" t="s">
        <v>445</v>
      </c>
      <c r="B225" s="23" t="s">
        <v>139</v>
      </c>
      <c r="C225" s="24" t="s">
        <v>219</v>
      </c>
      <c r="D225" s="54" t="s">
        <v>26</v>
      </c>
      <c r="E225" s="34">
        <f>E226</f>
        <v>4000000</v>
      </c>
      <c r="F225" s="34">
        <f>F226</f>
        <v>8140408.1699999999</v>
      </c>
      <c r="G225" s="34">
        <f>G226</f>
        <v>7255213.7699999996</v>
      </c>
      <c r="H225" s="34">
        <f t="shared" si="29"/>
        <v>885194.4</v>
      </c>
      <c r="I225" s="35">
        <f t="shared" si="30"/>
        <v>181.38</v>
      </c>
      <c r="J225" s="34"/>
      <c r="K225" s="34">
        <f t="shared" si="31"/>
        <v>89.13</v>
      </c>
      <c r="L225" s="34"/>
    </row>
    <row r="226" spans="1:12" s="2" customFormat="1" ht="31.2">
      <c r="A226" s="36" t="s">
        <v>118</v>
      </c>
      <c r="B226" s="23" t="s">
        <v>139</v>
      </c>
      <c r="C226" s="24" t="s">
        <v>219</v>
      </c>
      <c r="D226" s="54" t="s">
        <v>119</v>
      </c>
      <c r="E226" s="34">
        <f>4000000</f>
        <v>4000000</v>
      </c>
      <c r="F226" s="34">
        <f>4000000+690127.12+803511+3007234.31+906744.06+502235.65-2100163.63+330719.66</f>
        <v>8140408.1699999999</v>
      </c>
      <c r="G226" s="34">
        <v>7255213.7699999996</v>
      </c>
      <c r="H226" s="34">
        <f t="shared" si="29"/>
        <v>885194.4</v>
      </c>
      <c r="I226" s="35">
        <f t="shared" si="30"/>
        <v>181.38</v>
      </c>
      <c r="J226" s="34"/>
      <c r="K226" s="34">
        <f t="shared" si="31"/>
        <v>89.13</v>
      </c>
      <c r="L226" s="34"/>
    </row>
    <row r="227" spans="1:12" s="1" customFormat="1" ht="15.6">
      <c r="A227" s="36" t="s">
        <v>141</v>
      </c>
      <c r="B227" s="23" t="s">
        <v>142</v>
      </c>
      <c r="C227" s="24" t="s">
        <v>147</v>
      </c>
      <c r="D227" s="54" t="s">
        <v>26</v>
      </c>
      <c r="E227" s="31">
        <f>E228+E250+E257</f>
        <v>35067416.590000004</v>
      </c>
      <c r="F227" s="31">
        <f>F228+F250+F257</f>
        <v>54898196.700000003</v>
      </c>
      <c r="G227" s="31">
        <f>G228+G250+G257</f>
        <v>47230775.539999999</v>
      </c>
      <c r="H227" s="31">
        <f t="shared" si="29"/>
        <v>7667421.1600000001</v>
      </c>
      <c r="I227" s="32">
        <f t="shared" si="30"/>
        <v>134.69</v>
      </c>
      <c r="J227" s="31"/>
      <c r="K227" s="31">
        <f t="shared" si="31"/>
        <v>86.03</v>
      </c>
      <c r="L227" s="34"/>
    </row>
    <row r="228" spans="1:12" s="1" customFormat="1" ht="62.4">
      <c r="A228" s="51" t="s">
        <v>376</v>
      </c>
      <c r="B228" s="23" t="s">
        <v>142</v>
      </c>
      <c r="C228" s="24" t="s">
        <v>168</v>
      </c>
      <c r="D228" s="23" t="s">
        <v>26</v>
      </c>
      <c r="E228" s="31">
        <f>E229</f>
        <v>15106113.23</v>
      </c>
      <c r="F228" s="31">
        <f>F229</f>
        <v>16883860.800000001</v>
      </c>
      <c r="G228" s="31">
        <f>G229</f>
        <v>15094481.49</v>
      </c>
      <c r="H228" s="31">
        <f t="shared" si="29"/>
        <v>1789379.31</v>
      </c>
      <c r="I228" s="32">
        <f t="shared" si="30"/>
        <v>99.92</v>
      </c>
      <c r="J228" s="31"/>
      <c r="K228" s="31">
        <f t="shared" si="31"/>
        <v>89.4</v>
      </c>
      <c r="L228" s="45"/>
    </row>
    <row r="229" spans="1:12" s="1" customFormat="1" ht="46.8">
      <c r="A229" s="52" t="s">
        <v>423</v>
      </c>
      <c r="B229" s="23" t="s">
        <v>142</v>
      </c>
      <c r="C229" s="53" t="s">
        <v>176</v>
      </c>
      <c r="D229" s="54" t="s">
        <v>26</v>
      </c>
      <c r="E229" s="34">
        <f>E230+E239+E242+E247</f>
        <v>15106113.23</v>
      </c>
      <c r="F229" s="34">
        <f>F230+F239+F242+F247</f>
        <v>16883860.800000001</v>
      </c>
      <c r="G229" s="34">
        <f>G230+G239+G242+G247</f>
        <v>15094481.49</v>
      </c>
      <c r="H229" s="34">
        <f t="shared" si="29"/>
        <v>1789379.31</v>
      </c>
      <c r="I229" s="35">
        <f t="shared" si="30"/>
        <v>99.92</v>
      </c>
      <c r="J229" s="34"/>
      <c r="K229" s="34">
        <f t="shared" si="31"/>
        <v>89.4</v>
      </c>
      <c r="L229" s="34"/>
    </row>
    <row r="230" spans="1:12" s="1" customFormat="1" ht="46.8">
      <c r="A230" s="52" t="s">
        <v>435</v>
      </c>
      <c r="B230" s="23" t="s">
        <v>142</v>
      </c>
      <c r="C230" s="53" t="s">
        <v>436</v>
      </c>
      <c r="D230" s="54" t="s">
        <v>26</v>
      </c>
      <c r="E230" s="34">
        <f>E231+E233+E235+E237</f>
        <v>10064189.26</v>
      </c>
      <c r="F230" s="34">
        <f>F231+F233+F235+F237</f>
        <v>8708177.8000000007</v>
      </c>
      <c r="G230" s="34">
        <f>G231+G233+G235+G237</f>
        <v>7984236.25</v>
      </c>
      <c r="H230" s="34">
        <f t="shared" si="29"/>
        <v>723941.55</v>
      </c>
      <c r="I230" s="35">
        <f t="shared" si="30"/>
        <v>79.33</v>
      </c>
      <c r="J230" s="34"/>
      <c r="K230" s="34">
        <f t="shared" si="31"/>
        <v>91.69</v>
      </c>
      <c r="L230" s="34"/>
    </row>
    <row r="231" spans="1:12" s="1" customFormat="1" ht="31.2">
      <c r="A231" s="51" t="s">
        <v>437</v>
      </c>
      <c r="B231" s="33" t="s">
        <v>142</v>
      </c>
      <c r="C231" s="53" t="s">
        <v>438</v>
      </c>
      <c r="D231" s="80" t="s">
        <v>26</v>
      </c>
      <c r="E231" s="31">
        <f>E232</f>
        <v>288213.5</v>
      </c>
      <c r="F231" s="31">
        <f>F232</f>
        <v>0</v>
      </c>
      <c r="G231" s="31">
        <f>G232</f>
        <v>0</v>
      </c>
      <c r="H231" s="31">
        <f t="shared" si="29"/>
        <v>0</v>
      </c>
      <c r="I231" s="32">
        <f t="shared" si="30"/>
        <v>0</v>
      </c>
      <c r="J231" s="31"/>
      <c r="K231" s="31" t="e">
        <f t="shared" si="31"/>
        <v>#DIV/0!</v>
      </c>
      <c r="L231" s="31"/>
    </row>
    <row r="232" spans="1:12" s="1" customFormat="1" ht="31.2">
      <c r="A232" s="93" t="s">
        <v>118</v>
      </c>
      <c r="B232" s="33" t="s">
        <v>142</v>
      </c>
      <c r="C232" s="53" t="s">
        <v>438</v>
      </c>
      <c r="D232" s="80" t="s">
        <v>119</v>
      </c>
      <c r="E232" s="31">
        <f>288213.5</f>
        <v>288213.5</v>
      </c>
      <c r="F232" s="31">
        <f>288213.5-288213.5</f>
        <v>0</v>
      </c>
      <c r="G232" s="31">
        <f>288213.5-288213.5</f>
        <v>0</v>
      </c>
      <c r="H232" s="31">
        <f t="shared" si="29"/>
        <v>0</v>
      </c>
      <c r="I232" s="32">
        <f t="shared" si="30"/>
        <v>0</v>
      </c>
      <c r="J232" s="31"/>
      <c r="K232" s="31" t="e">
        <f t="shared" si="31"/>
        <v>#DIV/0!</v>
      </c>
      <c r="L232" s="31"/>
    </row>
    <row r="233" spans="1:12" s="1" customFormat="1" ht="93.6">
      <c r="A233" s="52" t="s">
        <v>439</v>
      </c>
      <c r="B233" s="33" t="s">
        <v>142</v>
      </c>
      <c r="C233" s="53" t="s">
        <v>185</v>
      </c>
      <c r="D233" s="80" t="s">
        <v>26</v>
      </c>
      <c r="E233" s="34">
        <f>E234</f>
        <v>662932.19999999995</v>
      </c>
      <c r="F233" s="34">
        <f>F234</f>
        <v>0</v>
      </c>
      <c r="G233" s="34">
        <f>G234</f>
        <v>0</v>
      </c>
      <c r="H233" s="34">
        <f t="shared" si="29"/>
        <v>0</v>
      </c>
      <c r="I233" s="35">
        <f t="shared" si="30"/>
        <v>0</v>
      </c>
      <c r="J233" s="34"/>
      <c r="K233" s="34" t="e">
        <f t="shared" si="31"/>
        <v>#DIV/0!</v>
      </c>
      <c r="L233" s="31"/>
    </row>
    <row r="234" spans="1:12" s="1" customFormat="1" ht="124.8">
      <c r="A234" s="94" t="s">
        <v>434</v>
      </c>
      <c r="B234" s="33" t="s">
        <v>142</v>
      </c>
      <c r="C234" s="53" t="s">
        <v>185</v>
      </c>
      <c r="D234" s="80" t="s">
        <v>126</v>
      </c>
      <c r="E234" s="34">
        <f>662932.2</f>
        <v>662932.19999999995</v>
      </c>
      <c r="F234" s="34">
        <f>662932.2-662932.2</f>
        <v>0</v>
      </c>
      <c r="G234" s="34">
        <f>662932.2-662932.2</f>
        <v>0</v>
      </c>
      <c r="H234" s="34">
        <f t="shared" si="29"/>
        <v>0</v>
      </c>
      <c r="I234" s="35">
        <f t="shared" si="30"/>
        <v>0</v>
      </c>
      <c r="J234" s="45" t="s">
        <v>575</v>
      </c>
      <c r="K234" s="34" t="e">
        <f t="shared" si="31"/>
        <v>#DIV/0!</v>
      </c>
      <c r="L234" s="34"/>
    </row>
    <row r="235" spans="1:12" s="1" customFormat="1" ht="62.4">
      <c r="A235" s="52" t="s">
        <v>249</v>
      </c>
      <c r="B235" s="23" t="s">
        <v>142</v>
      </c>
      <c r="C235" s="24" t="s">
        <v>250</v>
      </c>
      <c r="D235" s="54" t="s">
        <v>26</v>
      </c>
      <c r="E235" s="34">
        <f>E236</f>
        <v>9021913.1199999992</v>
      </c>
      <c r="F235" s="34">
        <f>F236</f>
        <v>8446932.4700000007</v>
      </c>
      <c r="G235" s="34">
        <f>G236</f>
        <v>7744709.1600000001</v>
      </c>
      <c r="H235" s="34">
        <f t="shared" si="29"/>
        <v>702223.31</v>
      </c>
      <c r="I235" s="35">
        <f t="shared" si="30"/>
        <v>85.84</v>
      </c>
      <c r="J235" s="34"/>
      <c r="K235" s="34">
        <f t="shared" si="31"/>
        <v>91.69</v>
      </c>
      <c r="L235" s="34"/>
    </row>
    <row r="236" spans="1:12" s="1" customFormat="1" ht="124.8">
      <c r="A236" s="33" t="s">
        <v>118</v>
      </c>
      <c r="B236" s="23" t="s">
        <v>142</v>
      </c>
      <c r="C236" s="24" t="s">
        <v>250</v>
      </c>
      <c r="D236" s="54" t="s">
        <v>119</v>
      </c>
      <c r="E236" s="34">
        <f>9021913.12</f>
        <v>9021913.1199999992</v>
      </c>
      <c r="F236" s="34">
        <f>9021913.12-574980.65</f>
        <v>8446932.4700000007</v>
      </c>
      <c r="G236" s="34">
        <v>7744709.1600000001</v>
      </c>
      <c r="H236" s="34">
        <f t="shared" si="29"/>
        <v>702223.31</v>
      </c>
      <c r="I236" s="35">
        <f t="shared" si="30"/>
        <v>85.84</v>
      </c>
      <c r="J236" s="45" t="s">
        <v>575</v>
      </c>
      <c r="K236" s="34">
        <f t="shared" si="31"/>
        <v>91.69</v>
      </c>
      <c r="L236" s="34"/>
    </row>
    <row r="237" spans="1:12" s="1" customFormat="1" ht="62.4">
      <c r="A237" s="52" t="s">
        <v>251</v>
      </c>
      <c r="B237" s="23" t="s">
        <v>142</v>
      </c>
      <c r="C237" s="24" t="s">
        <v>250</v>
      </c>
      <c r="D237" s="54" t="s">
        <v>26</v>
      </c>
      <c r="E237" s="34">
        <f>E238</f>
        <v>91130.44</v>
      </c>
      <c r="F237" s="34">
        <f>F238</f>
        <v>261245.33</v>
      </c>
      <c r="G237" s="34">
        <f>G238</f>
        <v>239527.09</v>
      </c>
      <c r="H237" s="34">
        <f t="shared" si="29"/>
        <v>21718.240000000002</v>
      </c>
      <c r="I237" s="35">
        <f t="shared" si="30"/>
        <v>262.83999999999997</v>
      </c>
      <c r="J237" s="34"/>
      <c r="K237" s="34">
        <f t="shared" si="31"/>
        <v>91.69</v>
      </c>
      <c r="L237" s="34"/>
    </row>
    <row r="238" spans="1:12" s="1" customFormat="1" ht="124.8">
      <c r="A238" s="33" t="s">
        <v>118</v>
      </c>
      <c r="B238" s="23" t="s">
        <v>142</v>
      </c>
      <c r="C238" s="24" t="s">
        <v>250</v>
      </c>
      <c r="D238" s="54" t="s">
        <v>119</v>
      </c>
      <c r="E238" s="34">
        <f>91130.44</f>
        <v>91130.44</v>
      </c>
      <c r="F238" s="34">
        <f>91130.44-18373.08+206270.88-17782.91</f>
        <v>261245.33</v>
      </c>
      <c r="G238" s="34">
        <v>239527.09</v>
      </c>
      <c r="H238" s="34">
        <f t="shared" si="29"/>
        <v>21718.240000000002</v>
      </c>
      <c r="I238" s="35">
        <f t="shared" si="30"/>
        <v>262.83999999999997</v>
      </c>
      <c r="J238" s="45" t="s">
        <v>575</v>
      </c>
      <c r="K238" s="34">
        <f t="shared" si="31"/>
        <v>91.69</v>
      </c>
      <c r="L238" s="31"/>
    </row>
    <row r="239" spans="1:12" s="1" customFormat="1" ht="31.2">
      <c r="A239" s="52" t="s">
        <v>424</v>
      </c>
      <c r="B239" s="23" t="s">
        <v>142</v>
      </c>
      <c r="C239" s="53" t="s">
        <v>425</v>
      </c>
      <c r="D239" s="54" t="s">
        <v>26</v>
      </c>
      <c r="E239" s="34">
        <f t="shared" ref="E239:G240" si="34">E240</f>
        <v>2931838</v>
      </c>
      <c r="F239" s="34">
        <f t="shared" si="34"/>
        <v>677440.03</v>
      </c>
      <c r="G239" s="34">
        <f t="shared" si="34"/>
        <v>677440</v>
      </c>
      <c r="H239" s="34">
        <f t="shared" si="29"/>
        <v>0.03</v>
      </c>
      <c r="I239" s="35">
        <f t="shared" si="30"/>
        <v>23.11</v>
      </c>
      <c r="J239" s="34"/>
      <c r="K239" s="34">
        <f t="shared" si="31"/>
        <v>100</v>
      </c>
      <c r="L239" s="34"/>
    </row>
    <row r="240" spans="1:12" s="1" customFormat="1" ht="46.8">
      <c r="A240" s="52" t="s">
        <v>505</v>
      </c>
      <c r="B240" s="23" t="s">
        <v>142</v>
      </c>
      <c r="C240" s="52" t="s">
        <v>440</v>
      </c>
      <c r="D240" s="54" t="s">
        <v>26</v>
      </c>
      <c r="E240" s="34">
        <f t="shared" si="34"/>
        <v>2931838</v>
      </c>
      <c r="F240" s="34">
        <f t="shared" si="34"/>
        <v>677440.03</v>
      </c>
      <c r="G240" s="34">
        <f t="shared" si="34"/>
        <v>677440</v>
      </c>
      <c r="H240" s="34">
        <f t="shared" si="29"/>
        <v>0.03</v>
      </c>
      <c r="I240" s="35">
        <f t="shared" si="30"/>
        <v>23.11</v>
      </c>
      <c r="J240" s="34"/>
      <c r="K240" s="34">
        <f t="shared" si="31"/>
        <v>100</v>
      </c>
      <c r="L240" s="34"/>
    </row>
    <row r="241" spans="1:12" s="1" customFormat="1" ht="46.8">
      <c r="A241" s="24" t="s">
        <v>104</v>
      </c>
      <c r="B241" s="23" t="s">
        <v>142</v>
      </c>
      <c r="C241" s="52" t="s">
        <v>440</v>
      </c>
      <c r="D241" s="54" t="s">
        <v>82</v>
      </c>
      <c r="E241" s="34">
        <f>2931838</f>
        <v>2931838</v>
      </c>
      <c r="F241" s="34">
        <v>677440.03</v>
      </c>
      <c r="G241" s="34">
        <f>2931838-1800000-454398</f>
        <v>677440</v>
      </c>
      <c r="H241" s="34">
        <f t="shared" si="29"/>
        <v>0.03</v>
      </c>
      <c r="I241" s="35">
        <f t="shared" si="30"/>
        <v>23.11</v>
      </c>
      <c r="J241" s="34"/>
      <c r="K241" s="34">
        <f t="shared" si="31"/>
        <v>100</v>
      </c>
      <c r="L241" s="34"/>
    </row>
    <row r="242" spans="1:12" s="1" customFormat="1" ht="31.2">
      <c r="A242" s="51" t="s">
        <v>204</v>
      </c>
      <c r="B242" s="23" t="s">
        <v>142</v>
      </c>
      <c r="C242" s="24" t="s">
        <v>229</v>
      </c>
      <c r="D242" s="54" t="s">
        <v>26</v>
      </c>
      <c r="E242" s="34">
        <f>E243+E245</f>
        <v>1680085.97</v>
      </c>
      <c r="F242" s="34">
        <f>F243+F245</f>
        <v>3021414.97</v>
      </c>
      <c r="G242" s="34">
        <f>G243+G245</f>
        <v>3021414.94</v>
      </c>
      <c r="H242" s="34">
        <f t="shared" si="29"/>
        <v>0.03</v>
      </c>
      <c r="I242" s="35">
        <f t="shared" si="30"/>
        <v>179.84</v>
      </c>
      <c r="J242" s="34"/>
      <c r="K242" s="34">
        <f t="shared" si="31"/>
        <v>100</v>
      </c>
      <c r="L242" s="34"/>
    </row>
    <row r="243" spans="1:12" s="1" customFormat="1" ht="46.8">
      <c r="A243" s="51" t="s">
        <v>205</v>
      </c>
      <c r="B243" s="23" t="s">
        <v>142</v>
      </c>
      <c r="C243" s="53" t="s">
        <v>230</v>
      </c>
      <c r="D243" s="54" t="s">
        <v>26</v>
      </c>
      <c r="E243" s="73">
        <f>E244</f>
        <v>1596081.67</v>
      </c>
      <c r="F243" s="73">
        <f>F244</f>
        <v>2930772.49</v>
      </c>
      <c r="G243" s="73">
        <f>G244</f>
        <v>2930772.49</v>
      </c>
      <c r="H243" s="73">
        <f t="shared" si="29"/>
        <v>0</v>
      </c>
      <c r="I243" s="74">
        <f t="shared" si="30"/>
        <v>183.62</v>
      </c>
      <c r="J243" s="34"/>
      <c r="K243" s="34">
        <f t="shared" si="31"/>
        <v>100</v>
      </c>
      <c r="L243" s="45"/>
    </row>
    <row r="244" spans="1:12" s="1" customFormat="1" ht="124.8">
      <c r="A244" s="24" t="s">
        <v>104</v>
      </c>
      <c r="B244" s="23" t="s">
        <v>142</v>
      </c>
      <c r="C244" s="53" t="s">
        <v>230</v>
      </c>
      <c r="D244" s="54" t="s">
        <v>82</v>
      </c>
      <c r="E244" s="34">
        <f>1596081.67</f>
        <v>1596081.67</v>
      </c>
      <c r="F244" s="34">
        <f>1596081.67+90775.62+1243915.2</f>
        <v>2930772.49</v>
      </c>
      <c r="G244" s="34">
        <f>1596081.67+90775.62+1243915.2</f>
        <v>2930772.49</v>
      </c>
      <c r="H244" s="34">
        <f t="shared" si="29"/>
        <v>0</v>
      </c>
      <c r="I244" s="35">
        <f t="shared" si="30"/>
        <v>183.62</v>
      </c>
      <c r="J244" s="45" t="s">
        <v>575</v>
      </c>
      <c r="K244" s="34">
        <f t="shared" si="31"/>
        <v>100</v>
      </c>
      <c r="L244" s="34"/>
    </row>
    <row r="245" spans="1:12" s="1" customFormat="1" ht="62.4">
      <c r="A245" s="51" t="s">
        <v>208</v>
      </c>
      <c r="B245" s="23" t="s">
        <v>142</v>
      </c>
      <c r="C245" s="53" t="s">
        <v>230</v>
      </c>
      <c r="D245" s="54" t="s">
        <v>26</v>
      </c>
      <c r="E245" s="34">
        <f>E246</f>
        <v>84004.3</v>
      </c>
      <c r="F245" s="34">
        <f>F246</f>
        <v>90642.48</v>
      </c>
      <c r="G245" s="34">
        <f>G246</f>
        <v>90642.45</v>
      </c>
      <c r="H245" s="34">
        <f t="shared" si="29"/>
        <v>0.03</v>
      </c>
      <c r="I245" s="35">
        <f t="shared" si="30"/>
        <v>107.9</v>
      </c>
      <c r="J245" s="34"/>
      <c r="K245" s="34">
        <f t="shared" si="31"/>
        <v>100</v>
      </c>
      <c r="L245" s="34"/>
    </row>
    <row r="246" spans="1:12" s="1" customFormat="1" ht="124.8">
      <c r="A246" s="24" t="s">
        <v>104</v>
      </c>
      <c r="B246" s="23" t="s">
        <v>142</v>
      </c>
      <c r="C246" s="53" t="s">
        <v>230</v>
      </c>
      <c r="D246" s="54" t="s">
        <v>82</v>
      </c>
      <c r="E246" s="34">
        <f>84004.3</f>
        <v>84004.3</v>
      </c>
      <c r="F246" s="34">
        <v>90642.48</v>
      </c>
      <c r="G246" s="34">
        <f>84004.3-34640.95+115103+40000-113823.9</f>
        <v>90642.45</v>
      </c>
      <c r="H246" s="34">
        <f t="shared" si="29"/>
        <v>0.03</v>
      </c>
      <c r="I246" s="35">
        <f t="shared" si="30"/>
        <v>107.9</v>
      </c>
      <c r="J246" s="45" t="s">
        <v>575</v>
      </c>
      <c r="K246" s="34">
        <f t="shared" si="31"/>
        <v>100</v>
      </c>
      <c r="L246" s="34"/>
    </row>
    <row r="247" spans="1:12" s="1" customFormat="1" ht="46.8">
      <c r="A247" s="52" t="s">
        <v>442</v>
      </c>
      <c r="B247" s="23" t="s">
        <v>142</v>
      </c>
      <c r="C247" s="53" t="s">
        <v>441</v>
      </c>
      <c r="D247" s="54" t="s">
        <v>26</v>
      </c>
      <c r="E247" s="34">
        <f t="shared" ref="E247:G248" si="35">E248</f>
        <v>430000</v>
      </c>
      <c r="F247" s="34">
        <f t="shared" si="35"/>
        <v>4476828</v>
      </c>
      <c r="G247" s="34">
        <f t="shared" si="35"/>
        <v>3411390.3</v>
      </c>
      <c r="H247" s="34">
        <f t="shared" si="29"/>
        <v>1065437.7</v>
      </c>
      <c r="I247" s="35">
        <f t="shared" si="30"/>
        <v>793.35</v>
      </c>
      <c r="J247" s="34"/>
      <c r="K247" s="34">
        <f t="shared" si="31"/>
        <v>76.2</v>
      </c>
      <c r="L247" s="34"/>
    </row>
    <row r="248" spans="1:12" s="1" customFormat="1" ht="46.8">
      <c r="A248" s="33" t="s">
        <v>443</v>
      </c>
      <c r="B248" s="23" t="s">
        <v>142</v>
      </c>
      <c r="C248" s="24" t="s">
        <v>444</v>
      </c>
      <c r="D248" s="54" t="s">
        <v>26</v>
      </c>
      <c r="E248" s="73">
        <f t="shared" si="35"/>
        <v>430000</v>
      </c>
      <c r="F248" s="73">
        <f t="shared" si="35"/>
        <v>4476828</v>
      </c>
      <c r="G248" s="73">
        <f t="shared" si="35"/>
        <v>3411390.3</v>
      </c>
      <c r="H248" s="73">
        <f t="shared" si="29"/>
        <v>1065437.7</v>
      </c>
      <c r="I248" s="74">
        <f t="shared" si="30"/>
        <v>793.35</v>
      </c>
      <c r="J248" s="34"/>
      <c r="K248" s="34">
        <f t="shared" si="31"/>
        <v>76.2</v>
      </c>
      <c r="L248" s="45"/>
    </row>
    <row r="249" spans="1:12" s="1" customFormat="1" ht="31.2">
      <c r="A249" s="36" t="s">
        <v>118</v>
      </c>
      <c r="B249" s="23" t="s">
        <v>142</v>
      </c>
      <c r="C249" s="24" t="s">
        <v>444</v>
      </c>
      <c r="D249" s="54" t="s">
        <v>119</v>
      </c>
      <c r="E249" s="34">
        <f>430000</f>
        <v>430000</v>
      </c>
      <c r="F249" s="34">
        <f>430000+3068048+978780</f>
        <v>4476828</v>
      </c>
      <c r="G249" s="34">
        <v>3411390.3</v>
      </c>
      <c r="H249" s="34">
        <f t="shared" si="29"/>
        <v>1065437.7</v>
      </c>
      <c r="I249" s="35">
        <f t="shared" si="30"/>
        <v>793.35</v>
      </c>
      <c r="J249" s="34"/>
      <c r="K249" s="34">
        <f t="shared" si="31"/>
        <v>76.2</v>
      </c>
      <c r="L249" s="34"/>
    </row>
    <row r="250" spans="1:12" s="1" customFormat="1" ht="46.8">
      <c r="A250" s="23" t="s">
        <v>349</v>
      </c>
      <c r="B250" s="33" t="s">
        <v>142</v>
      </c>
      <c r="C250" s="33" t="s">
        <v>148</v>
      </c>
      <c r="D250" s="33" t="s">
        <v>26</v>
      </c>
      <c r="E250" s="73">
        <f t="shared" ref="E250:G251" si="36">E251</f>
        <v>12395503.9</v>
      </c>
      <c r="F250" s="73">
        <f t="shared" si="36"/>
        <v>30292540.57</v>
      </c>
      <c r="G250" s="73">
        <f t="shared" si="36"/>
        <v>24415294.050000001</v>
      </c>
      <c r="H250" s="73">
        <f t="shared" si="29"/>
        <v>5877246.5199999996</v>
      </c>
      <c r="I250" s="74">
        <f t="shared" si="30"/>
        <v>196.97</v>
      </c>
      <c r="J250" s="34"/>
      <c r="K250" s="34">
        <f t="shared" si="31"/>
        <v>80.599999999999994</v>
      </c>
      <c r="L250" s="45"/>
    </row>
    <row r="251" spans="1:12" s="1" customFormat="1" ht="31.2">
      <c r="A251" s="24" t="s">
        <v>347</v>
      </c>
      <c r="B251" s="33" t="s">
        <v>142</v>
      </c>
      <c r="C251" s="33" t="s">
        <v>277</v>
      </c>
      <c r="D251" s="33" t="s">
        <v>26</v>
      </c>
      <c r="E251" s="34">
        <f t="shared" si="36"/>
        <v>12395503.9</v>
      </c>
      <c r="F251" s="34">
        <f t="shared" si="36"/>
        <v>30292540.57</v>
      </c>
      <c r="G251" s="34">
        <f t="shared" si="36"/>
        <v>24415294.050000001</v>
      </c>
      <c r="H251" s="34">
        <f t="shared" si="29"/>
        <v>5877246.5199999996</v>
      </c>
      <c r="I251" s="35">
        <f t="shared" si="30"/>
        <v>196.97</v>
      </c>
      <c r="J251" s="34"/>
      <c r="K251" s="34">
        <f t="shared" si="31"/>
        <v>80.599999999999994</v>
      </c>
      <c r="L251" s="34"/>
    </row>
    <row r="252" spans="1:12" s="1" customFormat="1" ht="15.6">
      <c r="A252" s="24" t="s">
        <v>348</v>
      </c>
      <c r="B252" s="33" t="s">
        <v>142</v>
      </c>
      <c r="C252" s="33" t="s">
        <v>274</v>
      </c>
      <c r="D252" s="33" t="s">
        <v>26</v>
      </c>
      <c r="E252" s="73">
        <f>E255+E253</f>
        <v>12395503.9</v>
      </c>
      <c r="F252" s="73">
        <f>F255+F253</f>
        <v>30292540.57</v>
      </c>
      <c r="G252" s="73">
        <f>G255+G253</f>
        <v>24415294.050000001</v>
      </c>
      <c r="H252" s="73">
        <f t="shared" si="29"/>
        <v>5877246.5199999996</v>
      </c>
      <c r="I252" s="74">
        <f t="shared" si="30"/>
        <v>196.97</v>
      </c>
      <c r="J252" s="34"/>
      <c r="K252" s="34">
        <f t="shared" si="31"/>
        <v>80.599999999999994</v>
      </c>
      <c r="L252" s="45"/>
    </row>
    <row r="253" spans="1:12" s="1" customFormat="1" ht="31.2">
      <c r="A253" s="52" t="s">
        <v>350</v>
      </c>
      <c r="B253" s="23" t="s">
        <v>142</v>
      </c>
      <c r="C253" s="24" t="s">
        <v>215</v>
      </c>
      <c r="D253" s="54" t="s">
        <v>26</v>
      </c>
      <c r="E253" s="34">
        <f>E254</f>
        <v>0</v>
      </c>
      <c r="F253" s="34">
        <f>F254</f>
        <v>10241793.550000001</v>
      </c>
      <c r="G253" s="34">
        <f>G254</f>
        <v>10241793.550000001</v>
      </c>
      <c r="H253" s="34">
        <f t="shared" si="29"/>
        <v>0</v>
      </c>
      <c r="I253" s="35" t="e">
        <f t="shared" si="30"/>
        <v>#DIV/0!</v>
      </c>
      <c r="J253" s="34"/>
      <c r="K253" s="34">
        <f t="shared" si="31"/>
        <v>100</v>
      </c>
      <c r="L253" s="34"/>
    </row>
    <row r="254" spans="1:12" s="1" customFormat="1" ht="124.8">
      <c r="A254" s="36" t="s">
        <v>118</v>
      </c>
      <c r="B254" s="23" t="s">
        <v>142</v>
      </c>
      <c r="C254" s="24" t="s">
        <v>215</v>
      </c>
      <c r="D254" s="54" t="s">
        <v>119</v>
      </c>
      <c r="E254" s="73">
        <f>0</f>
        <v>0</v>
      </c>
      <c r="F254" s="73">
        <f>0+3542922+3251245.27+3447626.28</f>
        <v>10241793.550000001</v>
      </c>
      <c r="G254" s="73">
        <f>0+3542922+3251245.27+3447626.28</f>
        <v>10241793.550000001</v>
      </c>
      <c r="H254" s="73">
        <f t="shared" si="29"/>
        <v>0</v>
      </c>
      <c r="I254" s="74" t="e">
        <f t="shared" si="30"/>
        <v>#DIV/0!</v>
      </c>
      <c r="J254" s="45" t="s">
        <v>576</v>
      </c>
      <c r="K254" s="34">
        <f t="shared" si="31"/>
        <v>100</v>
      </c>
      <c r="L254" s="45"/>
    </row>
    <row r="255" spans="1:12" s="1" customFormat="1" ht="31.2">
      <c r="A255" s="52" t="s">
        <v>446</v>
      </c>
      <c r="B255" s="23" t="s">
        <v>142</v>
      </c>
      <c r="C255" s="24" t="s">
        <v>219</v>
      </c>
      <c r="D255" s="54" t="s">
        <v>26</v>
      </c>
      <c r="E255" s="34">
        <f>E256</f>
        <v>12395503.9</v>
      </c>
      <c r="F255" s="34">
        <f>F256</f>
        <v>20050747.02</v>
      </c>
      <c r="G255" s="34">
        <f>G256</f>
        <v>14173500.5</v>
      </c>
      <c r="H255" s="34">
        <f t="shared" si="29"/>
        <v>5877246.5199999996</v>
      </c>
      <c r="I255" s="35">
        <f t="shared" si="30"/>
        <v>114.34</v>
      </c>
      <c r="J255" s="34"/>
      <c r="K255" s="34">
        <f t="shared" si="31"/>
        <v>70.69</v>
      </c>
      <c r="L255" s="31"/>
    </row>
    <row r="256" spans="1:12" s="1" customFormat="1" ht="31.2">
      <c r="A256" s="36" t="s">
        <v>118</v>
      </c>
      <c r="B256" s="23" t="s">
        <v>142</v>
      </c>
      <c r="C256" s="24" t="s">
        <v>219</v>
      </c>
      <c r="D256" s="54" t="s">
        <v>119</v>
      </c>
      <c r="E256" s="34">
        <f>12395503.9</f>
        <v>12395503.9</v>
      </c>
      <c r="F256" s="34">
        <v>20050747.02</v>
      </c>
      <c r="G256" s="34">
        <v>14173500.5</v>
      </c>
      <c r="H256" s="34">
        <f t="shared" si="29"/>
        <v>5877246.5199999996</v>
      </c>
      <c r="I256" s="35">
        <f t="shared" si="30"/>
        <v>114.34</v>
      </c>
      <c r="J256" s="34"/>
      <c r="K256" s="34">
        <f t="shared" si="31"/>
        <v>70.69</v>
      </c>
      <c r="L256" s="34"/>
    </row>
    <row r="257" spans="1:12" s="1" customFormat="1" ht="46.8">
      <c r="A257" s="33" t="s">
        <v>451</v>
      </c>
      <c r="B257" s="23" t="s">
        <v>142</v>
      </c>
      <c r="C257" s="24" t="s">
        <v>165</v>
      </c>
      <c r="D257" s="54" t="s">
        <v>26</v>
      </c>
      <c r="E257" s="31">
        <f t="shared" ref="E257:G258" si="37">E258</f>
        <v>7565799.46</v>
      </c>
      <c r="F257" s="31">
        <f t="shared" si="37"/>
        <v>7721795.3300000001</v>
      </c>
      <c r="G257" s="31">
        <f t="shared" si="37"/>
        <v>7721000</v>
      </c>
      <c r="H257" s="31">
        <f t="shared" si="29"/>
        <v>795.33</v>
      </c>
      <c r="I257" s="32">
        <f t="shared" si="30"/>
        <v>102.05</v>
      </c>
      <c r="J257" s="31"/>
      <c r="K257" s="31">
        <f t="shared" si="31"/>
        <v>99.99</v>
      </c>
      <c r="L257" s="34"/>
    </row>
    <row r="258" spans="1:12" s="1" customFormat="1" ht="46.8">
      <c r="A258" s="33" t="s">
        <v>452</v>
      </c>
      <c r="B258" s="23" t="s">
        <v>142</v>
      </c>
      <c r="C258" s="53" t="s">
        <v>166</v>
      </c>
      <c r="D258" s="54" t="s">
        <v>26</v>
      </c>
      <c r="E258" s="31">
        <f t="shared" si="37"/>
        <v>7565799.46</v>
      </c>
      <c r="F258" s="31">
        <f t="shared" si="37"/>
        <v>7721795.3300000001</v>
      </c>
      <c r="G258" s="31">
        <f t="shared" si="37"/>
        <v>7721000</v>
      </c>
      <c r="H258" s="31">
        <f t="shared" si="29"/>
        <v>795.33</v>
      </c>
      <c r="I258" s="32">
        <f t="shared" si="30"/>
        <v>102.05</v>
      </c>
      <c r="J258" s="31"/>
      <c r="K258" s="31">
        <f t="shared" si="31"/>
        <v>99.99</v>
      </c>
      <c r="L258" s="34"/>
    </row>
    <row r="259" spans="1:12" s="1" customFormat="1" ht="31.2">
      <c r="A259" s="33" t="s">
        <v>470</v>
      </c>
      <c r="B259" s="23" t="s">
        <v>142</v>
      </c>
      <c r="C259" s="53" t="s">
        <v>233</v>
      </c>
      <c r="D259" s="54" t="s">
        <v>26</v>
      </c>
      <c r="E259" s="31">
        <f>E262+E260</f>
        <v>7565799.46</v>
      </c>
      <c r="F259" s="31">
        <f>F262+F260</f>
        <v>7721795.3300000001</v>
      </c>
      <c r="G259" s="31">
        <f>G262+G260</f>
        <v>7721000</v>
      </c>
      <c r="H259" s="31">
        <f t="shared" si="29"/>
        <v>795.33</v>
      </c>
      <c r="I259" s="32">
        <f t="shared" si="30"/>
        <v>102.05</v>
      </c>
      <c r="J259" s="31"/>
      <c r="K259" s="31">
        <f t="shared" si="31"/>
        <v>99.99</v>
      </c>
      <c r="L259" s="34"/>
    </row>
    <row r="260" spans="1:12" s="1" customFormat="1" ht="46.8">
      <c r="A260" s="51" t="s">
        <v>258</v>
      </c>
      <c r="B260" s="23" t="s">
        <v>142</v>
      </c>
      <c r="C260" s="33" t="s">
        <v>235</v>
      </c>
      <c r="D260" s="54" t="s">
        <v>26</v>
      </c>
      <c r="E260" s="34">
        <f>E261</f>
        <v>7490141.4699999997</v>
      </c>
      <c r="F260" s="34">
        <f>F261</f>
        <v>7490141.4699999997</v>
      </c>
      <c r="G260" s="34">
        <f>G261</f>
        <v>7489370</v>
      </c>
      <c r="H260" s="34">
        <f t="shared" si="29"/>
        <v>771.47</v>
      </c>
      <c r="I260" s="35">
        <f t="shared" si="30"/>
        <v>99.99</v>
      </c>
      <c r="J260" s="34"/>
      <c r="K260" s="34">
        <f t="shared" si="31"/>
        <v>99.99</v>
      </c>
      <c r="L260" s="34"/>
    </row>
    <row r="261" spans="1:12" s="1" customFormat="1" ht="31.2">
      <c r="A261" s="36" t="s">
        <v>118</v>
      </c>
      <c r="B261" s="23" t="s">
        <v>142</v>
      </c>
      <c r="C261" s="33" t="s">
        <v>235</v>
      </c>
      <c r="D261" s="54" t="s">
        <v>119</v>
      </c>
      <c r="E261" s="34">
        <v>7490141.4699999997</v>
      </c>
      <c r="F261" s="34">
        <v>7490141.4699999997</v>
      </c>
      <c r="G261" s="34">
        <v>7489370</v>
      </c>
      <c r="H261" s="34">
        <f t="shared" si="29"/>
        <v>771.47</v>
      </c>
      <c r="I261" s="35">
        <f t="shared" si="30"/>
        <v>99.99</v>
      </c>
      <c r="J261" s="34"/>
      <c r="K261" s="34">
        <f t="shared" si="31"/>
        <v>99.99</v>
      </c>
      <c r="L261" s="34"/>
    </row>
    <row r="262" spans="1:12" s="2" customFormat="1" ht="46.8">
      <c r="A262" s="51" t="s">
        <v>259</v>
      </c>
      <c r="B262" s="23" t="s">
        <v>142</v>
      </c>
      <c r="C262" s="53" t="s">
        <v>235</v>
      </c>
      <c r="D262" s="54" t="s">
        <v>26</v>
      </c>
      <c r="E262" s="34">
        <f>E263</f>
        <v>75657.990000000005</v>
      </c>
      <c r="F262" s="34">
        <f>F263</f>
        <v>231653.86</v>
      </c>
      <c r="G262" s="34">
        <f>G263</f>
        <v>231630</v>
      </c>
      <c r="H262" s="34">
        <f t="shared" si="29"/>
        <v>23.86</v>
      </c>
      <c r="I262" s="35">
        <f t="shared" si="30"/>
        <v>306.14999999999998</v>
      </c>
      <c r="J262" s="34"/>
      <c r="K262" s="34">
        <f t="shared" si="31"/>
        <v>99.99</v>
      </c>
      <c r="L262" s="34"/>
    </row>
    <row r="263" spans="1:12" s="2" customFormat="1" ht="124.8">
      <c r="A263" s="36" t="s">
        <v>118</v>
      </c>
      <c r="B263" s="23" t="s">
        <v>142</v>
      </c>
      <c r="C263" s="53" t="s">
        <v>235</v>
      </c>
      <c r="D263" s="54" t="s">
        <v>119</v>
      </c>
      <c r="E263" s="34">
        <f>75657.99</f>
        <v>75657.990000000005</v>
      </c>
      <c r="F263" s="34">
        <f>75657.99+155995.87</f>
        <v>231653.86</v>
      </c>
      <c r="G263" s="34">
        <v>231630</v>
      </c>
      <c r="H263" s="34">
        <f t="shared" si="29"/>
        <v>23.86</v>
      </c>
      <c r="I263" s="35">
        <f t="shared" si="30"/>
        <v>306.14999999999998</v>
      </c>
      <c r="J263" s="45" t="s">
        <v>575</v>
      </c>
      <c r="K263" s="34">
        <f t="shared" si="31"/>
        <v>99.99</v>
      </c>
      <c r="L263" s="34"/>
    </row>
    <row r="264" spans="1:12" s="2" customFormat="1" ht="15.6">
      <c r="A264" s="36" t="s">
        <v>178</v>
      </c>
      <c r="B264" s="23" t="s">
        <v>179</v>
      </c>
      <c r="C264" s="24" t="s">
        <v>147</v>
      </c>
      <c r="D264" s="54" t="s">
        <v>26</v>
      </c>
      <c r="E264" s="31">
        <f>E265+E281+E288</f>
        <v>24650697.82</v>
      </c>
      <c r="F264" s="31">
        <f>F265+F281+F288</f>
        <v>43272212.090000004</v>
      </c>
      <c r="G264" s="31">
        <f>G265+G281+G288</f>
        <v>42043512.479999997</v>
      </c>
      <c r="H264" s="31">
        <f t="shared" si="29"/>
        <v>1228699.6100000001</v>
      </c>
      <c r="I264" s="32">
        <f t="shared" si="30"/>
        <v>170.56</v>
      </c>
      <c r="J264" s="31"/>
      <c r="K264" s="31">
        <f t="shared" si="31"/>
        <v>97.16</v>
      </c>
      <c r="L264" s="34"/>
    </row>
    <row r="265" spans="1:12" s="1" customFormat="1" ht="46.8">
      <c r="A265" s="51" t="s">
        <v>492</v>
      </c>
      <c r="B265" s="23" t="s">
        <v>179</v>
      </c>
      <c r="C265" s="24" t="s">
        <v>236</v>
      </c>
      <c r="D265" s="54" t="s">
        <v>26</v>
      </c>
      <c r="E265" s="34">
        <f>E266</f>
        <v>14497456.58</v>
      </c>
      <c r="F265" s="34">
        <f>F266</f>
        <v>18746431.489999998</v>
      </c>
      <c r="G265" s="34">
        <f>G266</f>
        <v>18746431.489999998</v>
      </c>
      <c r="H265" s="34">
        <f t="shared" ref="H265:H328" si="38">$F265-$G265</f>
        <v>0</v>
      </c>
      <c r="I265" s="35">
        <f t="shared" ref="I265:I328" si="39">$G265/$E265*100</f>
        <v>129.31</v>
      </c>
      <c r="J265" s="34"/>
      <c r="K265" s="34">
        <f t="shared" ref="K265:K328" si="40">$G265/$F265*100</f>
        <v>100</v>
      </c>
      <c r="L265" s="37"/>
    </row>
    <row r="266" spans="1:12" s="1" customFormat="1" ht="46.8">
      <c r="A266" s="51" t="s">
        <v>493</v>
      </c>
      <c r="B266" s="23" t="s">
        <v>179</v>
      </c>
      <c r="C266" s="24" t="s">
        <v>448</v>
      </c>
      <c r="D266" s="54" t="s">
        <v>26</v>
      </c>
      <c r="E266" s="34">
        <f>E267+E272</f>
        <v>14497456.58</v>
      </c>
      <c r="F266" s="34">
        <f>F267+F272</f>
        <v>18746431.489999998</v>
      </c>
      <c r="G266" s="34">
        <f>G267+G272</f>
        <v>18746431.489999998</v>
      </c>
      <c r="H266" s="34">
        <f t="shared" si="38"/>
        <v>0</v>
      </c>
      <c r="I266" s="35">
        <f t="shared" si="39"/>
        <v>129.31</v>
      </c>
      <c r="J266" s="34"/>
      <c r="K266" s="34">
        <f t="shared" si="40"/>
        <v>100</v>
      </c>
      <c r="L266" s="38"/>
    </row>
    <row r="267" spans="1:12" s="1" customFormat="1" ht="46.8">
      <c r="A267" s="51" t="s">
        <v>494</v>
      </c>
      <c r="B267" s="23" t="s">
        <v>179</v>
      </c>
      <c r="C267" s="24" t="s">
        <v>449</v>
      </c>
      <c r="D267" s="54" t="s">
        <v>26</v>
      </c>
      <c r="E267" s="34">
        <f>E268+E270</f>
        <v>14497456.58</v>
      </c>
      <c r="F267" s="34">
        <f>F268+F270</f>
        <v>14344916.66</v>
      </c>
      <c r="G267" s="34">
        <f>G268+G270</f>
        <v>14344916.66</v>
      </c>
      <c r="H267" s="34">
        <f t="shared" si="38"/>
        <v>0</v>
      </c>
      <c r="I267" s="35">
        <f t="shared" si="39"/>
        <v>98.95</v>
      </c>
      <c r="J267" s="34"/>
      <c r="K267" s="34">
        <f t="shared" si="40"/>
        <v>100</v>
      </c>
      <c r="L267" s="34"/>
    </row>
    <row r="268" spans="1:12" s="1" customFormat="1" ht="62.4">
      <c r="A268" s="36" t="s">
        <v>266</v>
      </c>
      <c r="B268" s="23" t="s">
        <v>179</v>
      </c>
      <c r="C268" s="24" t="s">
        <v>450</v>
      </c>
      <c r="D268" s="54" t="s">
        <v>26</v>
      </c>
      <c r="E268" s="34">
        <f>E269</f>
        <v>13772583.75</v>
      </c>
      <c r="F268" s="34">
        <f>F269</f>
        <v>13914569.15</v>
      </c>
      <c r="G268" s="34">
        <f>G269</f>
        <v>13914569.15</v>
      </c>
      <c r="H268" s="34">
        <f t="shared" si="38"/>
        <v>0</v>
      </c>
      <c r="I268" s="35">
        <f t="shared" si="39"/>
        <v>101.03</v>
      </c>
      <c r="J268" s="34"/>
      <c r="K268" s="34">
        <f t="shared" si="40"/>
        <v>100</v>
      </c>
      <c r="L268" s="34"/>
    </row>
    <row r="269" spans="1:12" s="1" customFormat="1" ht="31.2">
      <c r="A269" s="36" t="s">
        <v>118</v>
      </c>
      <c r="B269" s="23" t="s">
        <v>179</v>
      </c>
      <c r="C269" s="24" t="s">
        <v>450</v>
      </c>
      <c r="D269" s="54" t="s">
        <v>119</v>
      </c>
      <c r="E269" s="45">
        <f>13772583.75</f>
        <v>13772583.75</v>
      </c>
      <c r="F269" s="45">
        <v>13914569.15</v>
      </c>
      <c r="G269" s="45">
        <v>13914569.15</v>
      </c>
      <c r="H269" s="45">
        <f t="shared" si="38"/>
        <v>0</v>
      </c>
      <c r="I269" s="57">
        <f t="shared" si="39"/>
        <v>101.03</v>
      </c>
      <c r="J269" s="45"/>
      <c r="K269" s="45">
        <f t="shared" si="40"/>
        <v>100</v>
      </c>
      <c r="L269" s="34"/>
    </row>
    <row r="270" spans="1:12" s="1" customFormat="1" ht="62.4">
      <c r="A270" s="36" t="s">
        <v>267</v>
      </c>
      <c r="B270" s="23" t="s">
        <v>179</v>
      </c>
      <c r="C270" s="24" t="s">
        <v>450</v>
      </c>
      <c r="D270" s="54" t="s">
        <v>26</v>
      </c>
      <c r="E270" s="34">
        <f>E271</f>
        <v>724872.83</v>
      </c>
      <c r="F270" s="34">
        <f>F271</f>
        <v>430347.51</v>
      </c>
      <c r="G270" s="34">
        <f>G271</f>
        <v>430347.51</v>
      </c>
      <c r="H270" s="34">
        <f t="shared" si="38"/>
        <v>0</v>
      </c>
      <c r="I270" s="35">
        <f t="shared" si="39"/>
        <v>59.37</v>
      </c>
      <c r="J270" s="34"/>
      <c r="K270" s="34">
        <f t="shared" si="40"/>
        <v>100</v>
      </c>
      <c r="L270" s="34"/>
    </row>
    <row r="271" spans="1:12" s="1" customFormat="1" ht="124.8">
      <c r="A271" s="36" t="s">
        <v>118</v>
      </c>
      <c r="B271" s="23" t="s">
        <v>179</v>
      </c>
      <c r="C271" s="24" t="s">
        <v>450</v>
      </c>
      <c r="D271" s="54" t="s">
        <v>119</v>
      </c>
      <c r="E271" s="34">
        <f>724872.83</f>
        <v>724872.83</v>
      </c>
      <c r="F271" s="34">
        <v>430347.51</v>
      </c>
      <c r="G271" s="34">
        <v>430347.51</v>
      </c>
      <c r="H271" s="34">
        <f t="shared" si="38"/>
        <v>0</v>
      </c>
      <c r="I271" s="35">
        <f t="shared" si="39"/>
        <v>59.37</v>
      </c>
      <c r="J271" s="45" t="s">
        <v>575</v>
      </c>
      <c r="K271" s="34">
        <f t="shared" si="40"/>
        <v>100</v>
      </c>
      <c r="L271" s="34"/>
    </row>
    <row r="272" spans="1:12" s="1" customFormat="1" ht="46.8">
      <c r="A272" s="51" t="s">
        <v>519</v>
      </c>
      <c r="B272" s="23" t="s">
        <v>179</v>
      </c>
      <c r="C272" s="24" t="s">
        <v>518</v>
      </c>
      <c r="D272" s="54" t="s">
        <v>26</v>
      </c>
      <c r="E272" s="34">
        <f>E273+E275+E277+E279</f>
        <v>0</v>
      </c>
      <c r="F272" s="34">
        <f>F273+F275+F277+F279</f>
        <v>4401514.83</v>
      </c>
      <c r="G272" s="34">
        <f>G273+G275+G277+G279</f>
        <v>4401514.83</v>
      </c>
      <c r="H272" s="34">
        <f t="shared" si="38"/>
        <v>0</v>
      </c>
      <c r="I272" s="35" t="e">
        <f t="shared" si="39"/>
        <v>#DIV/0!</v>
      </c>
      <c r="J272" s="34"/>
      <c r="K272" s="34">
        <f t="shared" si="40"/>
        <v>100</v>
      </c>
      <c r="L272" s="34"/>
    </row>
    <row r="273" spans="1:12" s="1" customFormat="1" ht="62.4">
      <c r="A273" s="36" t="s">
        <v>520</v>
      </c>
      <c r="B273" s="23" t="s">
        <v>179</v>
      </c>
      <c r="C273" s="24" t="s">
        <v>521</v>
      </c>
      <c r="D273" s="54" t="s">
        <v>26</v>
      </c>
      <c r="E273" s="34">
        <f>E274</f>
        <v>0</v>
      </c>
      <c r="F273" s="34">
        <f>F274</f>
        <v>2227500</v>
      </c>
      <c r="G273" s="34">
        <f>G274</f>
        <v>2227500</v>
      </c>
      <c r="H273" s="34">
        <f t="shared" si="38"/>
        <v>0</v>
      </c>
      <c r="I273" s="35" t="e">
        <f t="shared" si="39"/>
        <v>#DIV/0!</v>
      </c>
      <c r="J273" s="34"/>
      <c r="K273" s="34">
        <f t="shared" si="40"/>
        <v>100</v>
      </c>
      <c r="L273" s="34"/>
    </row>
    <row r="274" spans="1:12" s="1" customFormat="1" ht="124.8">
      <c r="A274" s="36" t="s">
        <v>118</v>
      </c>
      <c r="B274" s="23" t="s">
        <v>179</v>
      </c>
      <c r="C274" s="24" t="s">
        <v>521</v>
      </c>
      <c r="D274" s="54" t="s">
        <v>119</v>
      </c>
      <c r="E274" s="45">
        <v>0</v>
      </c>
      <c r="F274" s="45">
        <f>2970000-742500</f>
        <v>2227500</v>
      </c>
      <c r="G274" s="45">
        <f>2970000-742500</f>
        <v>2227500</v>
      </c>
      <c r="H274" s="45">
        <f t="shared" si="38"/>
        <v>0</v>
      </c>
      <c r="I274" s="57" t="e">
        <f t="shared" si="39"/>
        <v>#DIV/0!</v>
      </c>
      <c r="J274" s="45" t="s">
        <v>575</v>
      </c>
      <c r="K274" s="45">
        <f t="shared" si="40"/>
        <v>100</v>
      </c>
      <c r="L274" s="34"/>
    </row>
    <row r="275" spans="1:12" s="1" customFormat="1" ht="78">
      <c r="A275" s="36" t="s">
        <v>522</v>
      </c>
      <c r="B275" s="23" t="s">
        <v>179</v>
      </c>
      <c r="C275" s="24" t="s">
        <v>521</v>
      </c>
      <c r="D275" s="54" t="s">
        <v>26</v>
      </c>
      <c r="E275" s="34">
        <f>E276</f>
        <v>0</v>
      </c>
      <c r="F275" s="34">
        <f>F276</f>
        <v>22500</v>
      </c>
      <c r="G275" s="34">
        <f>G276</f>
        <v>22500</v>
      </c>
      <c r="H275" s="34">
        <f t="shared" si="38"/>
        <v>0</v>
      </c>
      <c r="I275" s="35" t="e">
        <f t="shared" si="39"/>
        <v>#DIV/0!</v>
      </c>
      <c r="J275" s="34"/>
      <c r="K275" s="34">
        <f t="shared" si="40"/>
        <v>100</v>
      </c>
      <c r="L275" s="34"/>
    </row>
    <row r="276" spans="1:12" s="1" customFormat="1" ht="124.8">
      <c r="A276" s="36" t="s">
        <v>118</v>
      </c>
      <c r="B276" s="23" t="s">
        <v>179</v>
      </c>
      <c r="C276" s="24" t="s">
        <v>521</v>
      </c>
      <c r="D276" s="54" t="s">
        <v>119</v>
      </c>
      <c r="E276" s="45">
        <v>0</v>
      </c>
      <c r="F276" s="45">
        <f>30000-7500</f>
        <v>22500</v>
      </c>
      <c r="G276" s="45">
        <f>30000-7500</f>
        <v>22500</v>
      </c>
      <c r="H276" s="45">
        <f t="shared" si="38"/>
        <v>0</v>
      </c>
      <c r="I276" s="57" t="e">
        <f t="shared" si="39"/>
        <v>#DIV/0!</v>
      </c>
      <c r="J276" s="45" t="s">
        <v>575</v>
      </c>
      <c r="K276" s="45">
        <f t="shared" si="40"/>
        <v>100</v>
      </c>
      <c r="L276" s="34"/>
    </row>
    <row r="277" spans="1:12" s="1" customFormat="1" ht="62.4">
      <c r="A277" s="36" t="s">
        <v>524</v>
      </c>
      <c r="B277" s="23" t="s">
        <v>179</v>
      </c>
      <c r="C277" s="24" t="s">
        <v>523</v>
      </c>
      <c r="D277" s="54" t="s">
        <v>26</v>
      </c>
      <c r="E277" s="34">
        <f>E278</f>
        <v>0</v>
      </c>
      <c r="F277" s="34">
        <f>F278</f>
        <v>2129999.6800000002</v>
      </c>
      <c r="G277" s="34">
        <f>G278</f>
        <v>2129999.6800000002</v>
      </c>
      <c r="H277" s="34">
        <f t="shared" si="38"/>
        <v>0</v>
      </c>
      <c r="I277" s="35" t="e">
        <f t="shared" si="39"/>
        <v>#DIV/0!</v>
      </c>
      <c r="J277" s="34"/>
      <c r="K277" s="34">
        <f t="shared" si="40"/>
        <v>100</v>
      </c>
      <c r="L277" s="34"/>
    </row>
    <row r="278" spans="1:12" s="1" customFormat="1" ht="124.8">
      <c r="A278" s="36" t="s">
        <v>118</v>
      </c>
      <c r="B278" s="23" t="s">
        <v>179</v>
      </c>
      <c r="C278" s="24" t="s">
        <v>523</v>
      </c>
      <c r="D278" s="54" t="s">
        <v>119</v>
      </c>
      <c r="E278" s="95">
        <v>0</v>
      </c>
      <c r="F278" s="95">
        <f>3000000-870000.32</f>
        <v>2129999.6800000002</v>
      </c>
      <c r="G278" s="95">
        <f>3000000-870000.32</f>
        <v>2129999.6800000002</v>
      </c>
      <c r="H278" s="95">
        <f t="shared" si="38"/>
        <v>0</v>
      </c>
      <c r="I278" s="96" t="e">
        <f t="shared" si="39"/>
        <v>#DIV/0!</v>
      </c>
      <c r="J278" s="45" t="s">
        <v>575</v>
      </c>
      <c r="K278" s="45">
        <f t="shared" si="40"/>
        <v>100</v>
      </c>
      <c r="L278" s="45"/>
    </row>
    <row r="279" spans="1:12" s="2" customFormat="1" ht="78">
      <c r="A279" s="36" t="s">
        <v>525</v>
      </c>
      <c r="B279" s="23" t="s">
        <v>179</v>
      </c>
      <c r="C279" s="24" t="s">
        <v>523</v>
      </c>
      <c r="D279" s="54" t="s">
        <v>26</v>
      </c>
      <c r="E279" s="34">
        <f>E280</f>
        <v>0</v>
      </c>
      <c r="F279" s="34">
        <f>F280</f>
        <v>21515.15</v>
      </c>
      <c r="G279" s="34">
        <f>G280</f>
        <v>21515.15</v>
      </c>
      <c r="H279" s="34">
        <f t="shared" si="38"/>
        <v>0</v>
      </c>
      <c r="I279" s="35" t="e">
        <f t="shared" si="39"/>
        <v>#DIV/0!</v>
      </c>
      <c r="J279" s="34"/>
      <c r="K279" s="34">
        <f t="shared" si="40"/>
        <v>100</v>
      </c>
      <c r="L279" s="61"/>
    </row>
    <row r="280" spans="1:12" s="2" customFormat="1" ht="124.8">
      <c r="A280" s="36" t="s">
        <v>118</v>
      </c>
      <c r="B280" s="23" t="s">
        <v>179</v>
      </c>
      <c r="C280" s="24" t="s">
        <v>523</v>
      </c>
      <c r="D280" s="54" t="s">
        <v>119</v>
      </c>
      <c r="E280" s="45">
        <v>0</v>
      </c>
      <c r="F280" s="45">
        <f>30303.04-8787.89</f>
        <v>21515.15</v>
      </c>
      <c r="G280" s="45">
        <f>30303.04-8787.89</f>
        <v>21515.15</v>
      </c>
      <c r="H280" s="45">
        <f t="shared" si="38"/>
        <v>0</v>
      </c>
      <c r="I280" s="57" t="e">
        <f t="shared" si="39"/>
        <v>#DIV/0!</v>
      </c>
      <c r="J280" s="45" t="s">
        <v>575</v>
      </c>
      <c r="K280" s="45">
        <f t="shared" si="40"/>
        <v>100</v>
      </c>
      <c r="L280" s="31"/>
    </row>
    <row r="281" spans="1:12" s="1" customFormat="1" ht="46.8">
      <c r="A281" s="33" t="s">
        <v>451</v>
      </c>
      <c r="B281" s="23" t="s">
        <v>179</v>
      </c>
      <c r="C281" s="24" t="s">
        <v>165</v>
      </c>
      <c r="D281" s="54" t="s">
        <v>26</v>
      </c>
      <c r="E281" s="31">
        <f t="shared" ref="E281:G282" si="41">E282</f>
        <v>944812.94</v>
      </c>
      <c r="F281" s="31">
        <f t="shared" si="41"/>
        <v>806754</v>
      </c>
      <c r="G281" s="31">
        <f t="shared" si="41"/>
        <v>806754</v>
      </c>
      <c r="H281" s="31">
        <f t="shared" si="38"/>
        <v>0</v>
      </c>
      <c r="I281" s="32">
        <f t="shared" si="39"/>
        <v>85.39</v>
      </c>
      <c r="J281" s="31"/>
      <c r="K281" s="31">
        <f t="shared" si="40"/>
        <v>100</v>
      </c>
      <c r="L281" s="34"/>
    </row>
    <row r="282" spans="1:12" s="1" customFormat="1" ht="31.2">
      <c r="A282" s="51" t="s">
        <v>453</v>
      </c>
      <c r="B282" s="23" t="s">
        <v>179</v>
      </c>
      <c r="C282" s="24" t="s">
        <v>455</v>
      </c>
      <c r="D282" s="54" t="s">
        <v>26</v>
      </c>
      <c r="E282" s="34">
        <f t="shared" si="41"/>
        <v>944812.94</v>
      </c>
      <c r="F282" s="34">
        <f t="shared" si="41"/>
        <v>806754</v>
      </c>
      <c r="G282" s="34">
        <f t="shared" si="41"/>
        <v>806754</v>
      </c>
      <c r="H282" s="34">
        <f t="shared" si="38"/>
        <v>0</v>
      </c>
      <c r="I282" s="35">
        <f t="shared" si="39"/>
        <v>85.39</v>
      </c>
      <c r="J282" s="34"/>
      <c r="K282" s="34">
        <f t="shared" si="40"/>
        <v>100</v>
      </c>
      <c r="L282" s="34"/>
    </row>
    <row r="283" spans="1:12" s="1" customFormat="1" ht="46.8">
      <c r="A283" s="51" t="s">
        <v>454</v>
      </c>
      <c r="B283" s="23" t="s">
        <v>179</v>
      </c>
      <c r="C283" s="24" t="s">
        <v>456</v>
      </c>
      <c r="D283" s="54" t="s">
        <v>26</v>
      </c>
      <c r="E283" s="34">
        <f>E284+E286</f>
        <v>944812.94</v>
      </c>
      <c r="F283" s="34">
        <f>F284+F286</f>
        <v>806754</v>
      </c>
      <c r="G283" s="34">
        <f>G284+G286</f>
        <v>806754</v>
      </c>
      <c r="H283" s="34">
        <f t="shared" si="38"/>
        <v>0</v>
      </c>
      <c r="I283" s="35">
        <f t="shared" si="39"/>
        <v>85.39</v>
      </c>
      <c r="J283" s="34"/>
      <c r="K283" s="34">
        <f t="shared" si="40"/>
        <v>100</v>
      </c>
      <c r="L283" s="34"/>
    </row>
    <row r="284" spans="1:12" s="2" customFormat="1" ht="78">
      <c r="A284" s="72" t="s">
        <v>260</v>
      </c>
      <c r="B284" s="23" t="s">
        <v>179</v>
      </c>
      <c r="C284" s="24" t="s">
        <v>467</v>
      </c>
      <c r="D284" s="54" t="s">
        <v>26</v>
      </c>
      <c r="E284" s="34">
        <f>E285</f>
        <v>897572.29</v>
      </c>
      <c r="F284" s="34">
        <f>F285</f>
        <v>403377</v>
      </c>
      <c r="G284" s="34">
        <f>G285</f>
        <v>403377</v>
      </c>
      <c r="H284" s="34">
        <f t="shared" si="38"/>
        <v>0</v>
      </c>
      <c r="I284" s="35">
        <f t="shared" si="39"/>
        <v>44.94</v>
      </c>
      <c r="J284" s="34"/>
      <c r="K284" s="34">
        <f t="shared" si="40"/>
        <v>100</v>
      </c>
      <c r="L284" s="31"/>
    </row>
    <row r="285" spans="1:12" s="2" customFormat="1" ht="124.8">
      <c r="A285" s="36" t="s">
        <v>118</v>
      </c>
      <c r="B285" s="23" t="s">
        <v>179</v>
      </c>
      <c r="C285" s="24" t="s">
        <v>467</v>
      </c>
      <c r="D285" s="54" t="s">
        <v>119</v>
      </c>
      <c r="E285" s="34">
        <f>897572.29</f>
        <v>897572.29</v>
      </c>
      <c r="F285" s="34">
        <f>897572.29-494195.29</f>
        <v>403377</v>
      </c>
      <c r="G285" s="34">
        <f>897572.29-494195.29</f>
        <v>403377</v>
      </c>
      <c r="H285" s="34">
        <f t="shared" si="38"/>
        <v>0</v>
      </c>
      <c r="I285" s="35">
        <f t="shared" si="39"/>
        <v>44.94</v>
      </c>
      <c r="J285" s="45" t="s">
        <v>575</v>
      </c>
      <c r="K285" s="34">
        <f t="shared" si="40"/>
        <v>100</v>
      </c>
      <c r="L285" s="34"/>
    </row>
    <row r="286" spans="1:12" s="2" customFormat="1" ht="78">
      <c r="A286" s="72" t="s">
        <v>261</v>
      </c>
      <c r="B286" s="23" t="s">
        <v>179</v>
      </c>
      <c r="C286" s="24" t="s">
        <v>467</v>
      </c>
      <c r="D286" s="54" t="s">
        <v>26</v>
      </c>
      <c r="E286" s="34">
        <f>E287</f>
        <v>47240.65</v>
      </c>
      <c r="F286" s="34">
        <f>F287</f>
        <v>403377</v>
      </c>
      <c r="G286" s="34">
        <f>G287</f>
        <v>403377</v>
      </c>
      <c r="H286" s="34">
        <f t="shared" si="38"/>
        <v>0</v>
      </c>
      <c r="I286" s="35">
        <f t="shared" si="39"/>
        <v>853.88</v>
      </c>
      <c r="J286" s="34"/>
      <c r="K286" s="34">
        <f t="shared" si="40"/>
        <v>100</v>
      </c>
      <c r="L286" s="29"/>
    </row>
    <row r="287" spans="1:12" s="2" customFormat="1" ht="124.8">
      <c r="A287" s="36" t="s">
        <v>118</v>
      </c>
      <c r="B287" s="23" t="s">
        <v>179</v>
      </c>
      <c r="C287" s="24" t="s">
        <v>467</v>
      </c>
      <c r="D287" s="54" t="s">
        <v>119</v>
      </c>
      <c r="E287" s="34">
        <f>47240.65</f>
        <v>47240.65</v>
      </c>
      <c r="F287" s="34">
        <f>47240.65+356136.35</f>
        <v>403377</v>
      </c>
      <c r="G287" s="34">
        <f>47240.65+356136.35</f>
        <v>403377</v>
      </c>
      <c r="H287" s="34">
        <f t="shared" si="38"/>
        <v>0</v>
      </c>
      <c r="I287" s="35">
        <f t="shared" si="39"/>
        <v>853.88</v>
      </c>
      <c r="J287" s="45" t="s">
        <v>575</v>
      </c>
      <c r="K287" s="34">
        <f t="shared" si="40"/>
        <v>100</v>
      </c>
      <c r="L287" s="31"/>
    </row>
    <row r="288" spans="1:12" s="2" customFormat="1" ht="46.8">
      <c r="A288" s="23" t="s">
        <v>349</v>
      </c>
      <c r="B288" s="33" t="s">
        <v>179</v>
      </c>
      <c r="C288" s="33" t="s">
        <v>148</v>
      </c>
      <c r="D288" s="33" t="s">
        <v>26</v>
      </c>
      <c r="E288" s="34">
        <f t="shared" ref="E288:G289" si="42">E289</f>
        <v>9208428.3000000007</v>
      </c>
      <c r="F288" s="34">
        <f t="shared" si="42"/>
        <v>23719026.600000001</v>
      </c>
      <c r="G288" s="34">
        <f t="shared" si="42"/>
        <v>22490326.989999998</v>
      </c>
      <c r="H288" s="34">
        <f t="shared" si="38"/>
        <v>1228699.6100000001</v>
      </c>
      <c r="I288" s="35">
        <f t="shared" si="39"/>
        <v>244.24</v>
      </c>
      <c r="J288" s="34"/>
      <c r="K288" s="34">
        <f t="shared" si="40"/>
        <v>94.82</v>
      </c>
      <c r="L288" s="34"/>
    </row>
    <row r="289" spans="1:12" s="2" customFormat="1" ht="31.2">
      <c r="A289" s="24" t="s">
        <v>347</v>
      </c>
      <c r="B289" s="33" t="s">
        <v>179</v>
      </c>
      <c r="C289" s="33" t="s">
        <v>277</v>
      </c>
      <c r="D289" s="33" t="s">
        <v>26</v>
      </c>
      <c r="E289" s="34">
        <f t="shared" si="42"/>
        <v>9208428.3000000007</v>
      </c>
      <c r="F289" s="34">
        <f t="shared" si="42"/>
        <v>23719026.600000001</v>
      </c>
      <c r="G289" s="34">
        <f t="shared" si="42"/>
        <v>22490326.989999998</v>
      </c>
      <c r="H289" s="34">
        <f t="shared" si="38"/>
        <v>1228699.6100000001</v>
      </c>
      <c r="I289" s="35">
        <f t="shared" si="39"/>
        <v>244.24</v>
      </c>
      <c r="J289" s="34"/>
      <c r="K289" s="34">
        <f t="shared" si="40"/>
        <v>94.82</v>
      </c>
      <c r="L289" s="34"/>
    </row>
    <row r="290" spans="1:12" s="2" customFormat="1" ht="15.6">
      <c r="A290" s="24" t="s">
        <v>348</v>
      </c>
      <c r="B290" s="33" t="s">
        <v>179</v>
      </c>
      <c r="C290" s="33" t="s">
        <v>274</v>
      </c>
      <c r="D290" s="33" t="s">
        <v>26</v>
      </c>
      <c r="E290" s="34">
        <f>E293+E295+E297+E291</f>
        <v>9208428.3000000007</v>
      </c>
      <c r="F290" s="34">
        <f>F293+F295+F297+F291</f>
        <v>23719026.600000001</v>
      </c>
      <c r="G290" s="34">
        <f>G293+G295+G297+G291</f>
        <v>22490326.989999998</v>
      </c>
      <c r="H290" s="34">
        <f t="shared" si="38"/>
        <v>1228699.6100000001</v>
      </c>
      <c r="I290" s="35">
        <f t="shared" si="39"/>
        <v>244.24</v>
      </c>
      <c r="J290" s="34"/>
      <c r="K290" s="34">
        <f t="shared" si="40"/>
        <v>94.82</v>
      </c>
      <c r="L290" s="34"/>
    </row>
    <row r="291" spans="1:12" s="2" customFormat="1" ht="31.2">
      <c r="A291" s="24" t="s">
        <v>350</v>
      </c>
      <c r="B291" s="23" t="s">
        <v>179</v>
      </c>
      <c r="C291" s="24" t="s">
        <v>215</v>
      </c>
      <c r="D291" s="23" t="s">
        <v>26</v>
      </c>
      <c r="E291" s="37">
        <f>E292</f>
        <v>0</v>
      </c>
      <c r="F291" s="37">
        <f>F292</f>
        <v>1984000</v>
      </c>
      <c r="G291" s="37">
        <f>G292</f>
        <v>1984000</v>
      </c>
      <c r="H291" s="37">
        <f t="shared" si="38"/>
        <v>0</v>
      </c>
      <c r="I291" s="39" t="e">
        <f t="shared" si="39"/>
        <v>#DIV/0!</v>
      </c>
      <c r="J291" s="37"/>
      <c r="K291" s="37">
        <f t="shared" si="40"/>
        <v>100</v>
      </c>
      <c r="L291" s="34"/>
    </row>
    <row r="292" spans="1:12" s="2" customFormat="1" ht="124.8">
      <c r="A292" s="24" t="s">
        <v>118</v>
      </c>
      <c r="B292" s="23" t="s">
        <v>179</v>
      </c>
      <c r="C292" s="24" t="s">
        <v>215</v>
      </c>
      <c r="D292" s="24">
        <v>240</v>
      </c>
      <c r="E292" s="37">
        <v>0</v>
      </c>
      <c r="F292" s="37">
        <v>1984000</v>
      </c>
      <c r="G292" s="37">
        <v>1984000</v>
      </c>
      <c r="H292" s="37">
        <f t="shared" si="38"/>
        <v>0</v>
      </c>
      <c r="I292" s="39" t="e">
        <f t="shared" si="39"/>
        <v>#DIV/0!</v>
      </c>
      <c r="J292" s="38" t="s">
        <v>576</v>
      </c>
      <c r="K292" s="37">
        <f t="shared" si="40"/>
        <v>100</v>
      </c>
      <c r="L292" s="29"/>
    </row>
    <row r="293" spans="1:12" s="2" customFormat="1" ht="31.2">
      <c r="A293" s="36" t="s">
        <v>298</v>
      </c>
      <c r="B293" s="23" t="s">
        <v>179</v>
      </c>
      <c r="C293" s="24" t="s">
        <v>447</v>
      </c>
      <c r="D293" s="54" t="s">
        <v>26</v>
      </c>
      <c r="E293" s="34">
        <f>E294</f>
        <v>266000</v>
      </c>
      <c r="F293" s="34">
        <f>F294</f>
        <v>150000</v>
      </c>
      <c r="G293" s="34">
        <f>G294</f>
        <v>134500</v>
      </c>
      <c r="H293" s="34">
        <f t="shared" si="38"/>
        <v>15500</v>
      </c>
      <c r="I293" s="35">
        <f t="shared" si="39"/>
        <v>50.56</v>
      </c>
      <c r="J293" s="34"/>
      <c r="K293" s="34">
        <f t="shared" si="40"/>
        <v>89.67</v>
      </c>
      <c r="L293" s="34"/>
    </row>
    <row r="294" spans="1:12" s="2" customFormat="1" ht="31.2">
      <c r="A294" s="36" t="s">
        <v>118</v>
      </c>
      <c r="B294" s="23" t="s">
        <v>179</v>
      </c>
      <c r="C294" s="24" t="s">
        <v>447</v>
      </c>
      <c r="D294" s="54" t="s">
        <v>119</v>
      </c>
      <c r="E294" s="34">
        <f>266000</f>
        <v>266000</v>
      </c>
      <c r="F294" s="34">
        <f>266000-116000</f>
        <v>150000</v>
      </c>
      <c r="G294" s="34">
        <v>134500</v>
      </c>
      <c r="H294" s="34">
        <f t="shared" si="38"/>
        <v>15500</v>
      </c>
      <c r="I294" s="35">
        <f t="shared" si="39"/>
        <v>50.56</v>
      </c>
      <c r="J294" s="34"/>
      <c r="K294" s="34">
        <f t="shared" si="40"/>
        <v>89.67</v>
      </c>
      <c r="L294" s="34"/>
    </row>
    <row r="295" spans="1:12" s="2" customFormat="1" ht="31.2">
      <c r="A295" s="50" t="s">
        <v>299</v>
      </c>
      <c r="B295" s="23" t="s">
        <v>179</v>
      </c>
      <c r="C295" s="24" t="s">
        <v>300</v>
      </c>
      <c r="D295" s="54" t="s">
        <v>26</v>
      </c>
      <c r="E295" s="34">
        <f>E296</f>
        <v>2064428.3</v>
      </c>
      <c r="F295" s="34">
        <f>F296</f>
        <v>2377840.4500000002</v>
      </c>
      <c r="G295" s="34">
        <f>G296</f>
        <v>2315954.4500000002</v>
      </c>
      <c r="H295" s="34">
        <f t="shared" si="38"/>
        <v>61886</v>
      </c>
      <c r="I295" s="35">
        <f t="shared" si="39"/>
        <v>112.18</v>
      </c>
      <c r="J295" s="34"/>
      <c r="K295" s="34">
        <f t="shared" si="40"/>
        <v>97.4</v>
      </c>
      <c r="L295" s="34"/>
    </row>
    <row r="296" spans="1:12" s="2" customFormat="1" ht="31.2">
      <c r="A296" s="36" t="s">
        <v>118</v>
      </c>
      <c r="B296" s="23" t="s">
        <v>179</v>
      </c>
      <c r="C296" s="24" t="s">
        <v>300</v>
      </c>
      <c r="D296" s="54" t="s">
        <v>119</v>
      </c>
      <c r="E296" s="34">
        <f>2064428.3</f>
        <v>2064428.3</v>
      </c>
      <c r="F296" s="34">
        <f>2064428.3+1495000-1181587.85</f>
        <v>2377840.4500000002</v>
      </c>
      <c r="G296" s="34">
        <v>2315954.4500000002</v>
      </c>
      <c r="H296" s="34">
        <f t="shared" si="38"/>
        <v>61886</v>
      </c>
      <c r="I296" s="35">
        <f t="shared" si="39"/>
        <v>112.18</v>
      </c>
      <c r="J296" s="34"/>
      <c r="K296" s="34">
        <f t="shared" si="40"/>
        <v>97.4</v>
      </c>
      <c r="L296" s="34"/>
    </row>
    <row r="297" spans="1:12" s="2" customFormat="1" ht="31.2">
      <c r="A297" s="50" t="s">
        <v>302</v>
      </c>
      <c r="B297" s="23" t="s">
        <v>179</v>
      </c>
      <c r="C297" s="24" t="s">
        <v>301</v>
      </c>
      <c r="D297" s="54" t="s">
        <v>26</v>
      </c>
      <c r="E297" s="34">
        <f>E298</f>
        <v>6878000</v>
      </c>
      <c r="F297" s="34">
        <f>F298</f>
        <v>19207186.149999999</v>
      </c>
      <c r="G297" s="34">
        <f>G298</f>
        <v>18055872.539999999</v>
      </c>
      <c r="H297" s="34">
        <f t="shared" si="38"/>
        <v>1151313.6100000001</v>
      </c>
      <c r="I297" s="35">
        <f t="shared" si="39"/>
        <v>262.52</v>
      </c>
      <c r="J297" s="34"/>
      <c r="K297" s="34">
        <f t="shared" si="40"/>
        <v>94.01</v>
      </c>
      <c r="L297" s="34"/>
    </row>
    <row r="298" spans="1:12" s="2" customFormat="1" ht="31.2">
      <c r="A298" s="36" t="s">
        <v>118</v>
      </c>
      <c r="B298" s="23" t="s">
        <v>179</v>
      </c>
      <c r="C298" s="24" t="s">
        <v>301</v>
      </c>
      <c r="D298" s="54" t="s">
        <v>119</v>
      </c>
      <c r="E298" s="34">
        <f>6878000</f>
        <v>6878000</v>
      </c>
      <c r="F298" s="34">
        <v>19207186.149999999</v>
      </c>
      <c r="G298" s="34">
        <v>18055872.539999999</v>
      </c>
      <c r="H298" s="34">
        <f t="shared" si="38"/>
        <v>1151313.6100000001</v>
      </c>
      <c r="I298" s="35">
        <f t="shared" si="39"/>
        <v>262.52</v>
      </c>
      <c r="J298" s="34"/>
      <c r="K298" s="34">
        <f t="shared" si="40"/>
        <v>94.01</v>
      </c>
      <c r="L298" s="34"/>
    </row>
    <row r="299" spans="1:12" s="2" customFormat="1" ht="31.2">
      <c r="A299" s="33" t="s">
        <v>169</v>
      </c>
      <c r="B299" s="33" t="s">
        <v>171</v>
      </c>
      <c r="C299" s="24" t="s">
        <v>147</v>
      </c>
      <c r="D299" s="33" t="s">
        <v>26</v>
      </c>
      <c r="E299" s="34">
        <f t="shared" ref="E299:G303" si="43">E300</f>
        <v>5166.2</v>
      </c>
      <c r="F299" s="34">
        <f t="shared" si="43"/>
        <v>5166.2</v>
      </c>
      <c r="G299" s="34">
        <f t="shared" si="43"/>
        <v>5166.2</v>
      </c>
      <c r="H299" s="34">
        <f t="shared" si="38"/>
        <v>0</v>
      </c>
      <c r="I299" s="35">
        <f t="shared" si="39"/>
        <v>100</v>
      </c>
      <c r="J299" s="34"/>
      <c r="K299" s="34">
        <f t="shared" si="40"/>
        <v>100</v>
      </c>
      <c r="L299" s="31"/>
    </row>
    <row r="300" spans="1:12" s="2" customFormat="1" ht="46.8">
      <c r="A300" s="23" t="s">
        <v>349</v>
      </c>
      <c r="B300" s="33" t="s">
        <v>171</v>
      </c>
      <c r="C300" s="33" t="s">
        <v>148</v>
      </c>
      <c r="D300" s="33" t="s">
        <v>26</v>
      </c>
      <c r="E300" s="34">
        <f t="shared" si="43"/>
        <v>5166.2</v>
      </c>
      <c r="F300" s="34">
        <f t="shared" si="43"/>
        <v>5166.2</v>
      </c>
      <c r="G300" s="34">
        <f t="shared" si="43"/>
        <v>5166.2</v>
      </c>
      <c r="H300" s="34">
        <f t="shared" si="38"/>
        <v>0</v>
      </c>
      <c r="I300" s="35">
        <f t="shared" si="39"/>
        <v>100</v>
      </c>
      <c r="J300" s="34"/>
      <c r="K300" s="34">
        <f t="shared" si="40"/>
        <v>100</v>
      </c>
      <c r="L300" s="31"/>
    </row>
    <row r="301" spans="1:12" s="2" customFormat="1" ht="31.2">
      <c r="A301" s="24" t="s">
        <v>347</v>
      </c>
      <c r="B301" s="33" t="s">
        <v>171</v>
      </c>
      <c r="C301" s="33" t="s">
        <v>277</v>
      </c>
      <c r="D301" s="33" t="s">
        <v>26</v>
      </c>
      <c r="E301" s="34">
        <f t="shared" si="43"/>
        <v>5166.2</v>
      </c>
      <c r="F301" s="34">
        <f t="shared" si="43"/>
        <v>5166.2</v>
      </c>
      <c r="G301" s="34">
        <f t="shared" si="43"/>
        <v>5166.2</v>
      </c>
      <c r="H301" s="34">
        <f t="shared" si="38"/>
        <v>0</v>
      </c>
      <c r="I301" s="35">
        <f t="shared" si="39"/>
        <v>100</v>
      </c>
      <c r="J301" s="34"/>
      <c r="K301" s="34">
        <f t="shared" si="40"/>
        <v>100</v>
      </c>
      <c r="L301" s="31"/>
    </row>
    <row r="302" spans="1:12" s="2" customFormat="1" ht="15.6">
      <c r="A302" s="24" t="s">
        <v>348</v>
      </c>
      <c r="B302" s="33" t="s">
        <v>171</v>
      </c>
      <c r="C302" s="33" t="s">
        <v>274</v>
      </c>
      <c r="D302" s="33" t="s">
        <v>26</v>
      </c>
      <c r="E302" s="34">
        <f t="shared" si="43"/>
        <v>5166.2</v>
      </c>
      <c r="F302" s="34">
        <f t="shared" si="43"/>
        <v>5166.2</v>
      </c>
      <c r="G302" s="34">
        <f t="shared" si="43"/>
        <v>5166.2</v>
      </c>
      <c r="H302" s="34">
        <f t="shared" si="38"/>
        <v>0</v>
      </c>
      <c r="I302" s="35">
        <f t="shared" si="39"/>
        <v>100</v>
      </c>
      <c r="J302" s="34"/>
      <c r="K302" s="34">
        <f t="shared" si="40"/>
        <v>100</v>
      </c>
      <c r="L302" s="34"/>
    </row>
    <row r="303" spans="1:12" s="2" customFormat="1" ht="62.4">
      <c r="A303" s="58" t="s">
        <v>170</v>
      </c>
      <c r="B303" s="33" t="s">
        <v>171</v>
      </c>
      <c r="C303" s="53" t="s">
        <v>420</v>
      </c>
      <c r="D303" s="80" t="s">
        <v>26</v>
      </c>
      <c r="E303" s="34">
        <f t="shared" si="43"/>
        <v>5166.2</v>
      </c>
      <c r="F303" s="34">
        <f t="shared" si="43"/>
        <v>5166.2</v>
      </c>
      <c r="G303" s="34">
        <f t="shared" si="43"/>
        <v>5166.2</v>
      </c>
      <c r="H303" s="34">
        <f t="shared" si="38"/>
        <v>0</v>
      </c>
      <c r="I303" s="35">
        <f t="shared" si="39"/>
        <v>100</v>
      </c>
      <c r="J303" s="34"/>
      <c r="K303" s="34">
        <f t="shared" si="40"/>
        <v>100</v>
      </c>
      <c r="L303" s="34"/>
    </row>
    <row r="304" spans="1:12" s="2" customFormat="1" ht="31.2">
      <c r="A304" s="51" t="s">
        <v>120</v>
      </c>
      <c r="B304" s="33" t="s">
        <v>171</v>
      </c>
      <c r="C304" s="53" t="s">
        <v>420</v>
      </c>
      <c r="D304" s="80" t="s">
        <v>121</v>
      </c>
      <c r="E304" s="45">
        <v>5166.2</v>
      </c>
      <c r="F304" s="45">
        <v>5166.2</v>
      </c>
      <c r="G304" s="45">
        <v>5166.2</v>
      </c>
      <c r="H304" s="45">
        <f t="shared" si="38"/>
        <v>0</v>
      </c>
      <c r="I304" s="57">
        <f t="shared" si="39"/>
        <v>100</v>
      </c>
      <c r="J304" s="45"/>
      <c r="K304" s="45">
        <f t="shared" si="40"/>
        <v>100</v>
      </c>
      <c r="L304" s="34"/>
    </row>
    <row r="305" spans="1:12" s="2" customFormat="1" ht="124.8">
      <c r="A305" s="97" t="s">
        <v>30</v>
      </c>
      <c r="B305" s="84" t="s">
        <v>44</v>
      </c>
      <c r="C305" s="83" t="s">
        <v>147</v>
      </c>
      <c r="D305" s="84" t="s">
        <v>26</v>
      </c>
      <c r="E305" s="61">
        <f>E306+E324+E367+E373+E385</f>
        <v>711807310.22000003</v>
      </c>
      <c r="F305" s="61">
        <f t="shared" ref="F305:G305" si="44">F306+F324+F367+F373+F385</f>
        <v>699332108.04999995</v>
      </c>
      <c r="G305" s="61">
        <f t="shared" si="44"/>
        <v>699279944.10000002</v>
      </c>
      <c r="H305" s="61">
        <f t="shared" si="38"/>
        <v>52163.95</v>
      </c>
      <c r="I305" s="66">
        <f t="shared" si="39"/>
        <v>98.24</v>
      </c>
      <c r="J305" s="61"/>
      <c r="K305" s="61">
        <f t="shared" si="40"/>
        <v>99.99</v>
      </c>
      <c r="L305" s="45" t="s">
        <v>575</v>
      </c>
    </row>
    <row r="306" spans="1:12" s="2" customFormat="1" ht="15.6">
      <c r="A306" s="24" t="s">
        <v>37</v>
      </c>
      <c r="B306" s="23" t="s">
        <v>45</v>
      </c>
      <c r="C306" s="23" t="s">
        <v>147</v>
      </c>
      <c r="D306" s="54" t="s">
        <v>26</v>
      </c>
      <c r="E306" s="31">
        <f t="shared" ref="E306:G307" si="45">E307</f>
        <v>186071010.91</v>
      </c>
      <c r="F306" s="31">
        <f t="shared" si="45"/>
        <v>190303515</v>
      </c>
      <c r="G306" s="31">
        <f t="shared" si="45"/>
        <v>190303305</v>
      </c>
      <c r="H306" s="31">
        <f t="shared" si="38"/>
        <v>210</v>
      </c>
      <c r="I306" s="32">
        <f t="shared" si="39"/>
        <v>102.27</v>
      </c>
      <c r="J306" s="31"/>
      <c r="K306" s="31">
        <f t="shared" si="40"/>
        <v>100</v>
      </c>
      <c r="L306" s="31"/>
    </row>
    <row r="307" spans="1:12" s="2" customFormat="1" ht="46.8">
      <c r="A307" s="24" t="s">
        <v>495</v>
      </c>
      <c r="B307" s="23" t="s">
        <v>45</v>
      </c>
      <c r="C307" s="23" t="s">
        <v>0</v>
      </c>
      <c r="D307" s="54" t="s">
        <v>26</v>
      </c>
      <c r="E307" s="31">
        <f t="shared" si="45"/>
        <v>186071010.91</v>
      </c>
      <c r="F307" s="31">
        <f t="shared" si="45"/>
        <v>190303515</v>
      </c>
      <c r="G307" s="31">
        <f t="shared" si="45"/>
        <v>190303305</v>
      </c>
      <c r="H307" s="31">
        <f t="shared" si="38"/>
        <v>210</v>
      </c>
      <c r="I307" s="32">
        <f t="shared" si="39"/>
        <v>102.27</v>
      </c>
      <c r="J307" s="31"/>
      <c r="K307" s="31">
        <f t="shared" si="40"/>
        <v>100</v>
      </c>
      <c r="L307" s="31"/>
    </row>
    <row r="308" spans="1:12" s="2" customFormat="1" ht="31.2">
      <c r="A308" s="24" t="s">
        <v>303</v>
      </c>
      <c r="B308" s="23" t="s">
        <v>45</v>
      </c>
      <c r="C308" s="23" t="s">
        <v>18</v>
      </c>
      <c r="D308" s="54" t="s">
        <v>26</v>
      </c>
      <c r="E308" s="31">
        <f>E309+E316+E319</f>
        <v>186071010.91</v>
      </c>
      <c r="F308" s="31">
        <f>F309+F316+F319</f>
        <v>190303515</v>
      </c>
      <c r="G308" s="31">
        <f>G309+G316+G319</f>
        <v>190303305</v>
      </c>
      <c r="H308" s="31">
        <f t="shared" si="38"/>
        <v>210</v>
      </c>
      <c r="I308" s="32">
        <f t="shared" si="39"/>
        <v>102.27</v>
      </c>
      <c r="J308" s="31"/>
      <c r="K308" s="31">
        <f t="shared" si="40"/>
        <v>100</v>
      </c>
      <c r="L308" s="31"/>
    </row>
    <row r="309" spans="1:12" s="2" customFormat="1" ht="31.2">
      <c r="A309" s="98" t="s">
        <v>227</v>
      </c>
      <c r="B309" s="23" t="s">
        <v>45</v>
      </c>
      <c r="C309" s="23" t="s">
        <v>228</v>
      </c>
      <c r="D309" s="54" t="s">
        <v>26</v>
      </c>
      <c r="E309" s="31">
        <f>E310+E312+E314</f>
        <v>185971010.91</v>
      </c>
      <c r="F309" s="31">
        <f>F310+F312+F314</f>
        <v>190303515</v>
      </c>
      <c r="G309" s="31">
        <f>G310+G312+G314</f>
        <v>190303305</v>
      </c>
      <c r="H309" s="31">
        <f t="shared" si="38"/>
        <v>210</v>
      </c>
      <c r="I309" s="32">
        <f t="shared" si="39"/>
        <v>102.33</v>
      </c>
      <c r="J309" s="31"/>
      <c r="K309" s="31">
        <f t="shared" si="40"/>
        <v>100</v>
      </c>
      <c r="L309" s="31"/>
    </row>
    <row r="310" spans="1:12" s="2" customFormat="1" ht="46.8">
      <c r="A310" s="24" t="s">
        <v>112</v>
      </c>
      <c r="B310" s="23" t="s">
        <v>45</v>
      </c>
      <c r="C310" s="23" t="s">
        <v>224</v>
      </c>
      <c r="D310" s="23" t="s">
        <v>26</v>
      </c>
      <c r="E310" s="73">
        <f>E311</f>
        <v>105315775.91</v>
      </c>
      <c r="F310" s="73">
        <f>F311</f>
        <v>99393735</v>
      </c>
      <c r="G310" s="73">
        <f>G311</f>
        <v>99393735</v>
      </c>
      <c r="H310" s="73">
        <f t="shared" si="38"/>
        <v>0</v>
      </c>
      <c r="I310" s="74">
        <f t="shared" si="39"/>
        <v>94.38</v>
      </c>
      <c r="J310" s="34"/>
      <c r="K310" s="34">
        <f t="shared" si="40"/>
        <v>100</v>
      </c>
      <c r="L310" s="42"/>
    </row>
    <row r="311" spans="1:12" s="2" customFormat="1" ht="15.6">
      <c r="A311" s="24" t="s">
        <v>131</v>
      </c>
      <c r="B311" s="23" t="s">
        <v>45</v>
      </c>
      <c r="C311" s="23" t="s">
        <v>224</v>
      </c>
      <c r="D311" s="23" t="s">
        <v>132</v>
      </c>
      <c r="E311" s="34">
        <f>105315775.91</f>
        <v>105315775.91</v>
      </c>
      <c r="F311" s="34">
        <f>105315775.91-1300000-4622040.91</f>
        <v>99393735</v>
      </c>
      <c r="G311" s="34">
        <f>105315775.91-1300000-4622040.91</f>
        <v>99393735</v>
      </c>
      <c r="H311" s="34">
        <f t="shared" si="38"/>
        <v>0</v>
      </c>
      <c r="I311" s="35">
        <f t="shared" si="39"/>
        <v>94.38</v>
      </c>
      <c r="J311" s="34"/>
      <c r="K311" s="34">
        <f t="shared" si="40"/>
        <v>100</v>
      </c>
      <c r="L311" s="34"/>
    </row>
    <row r="312" spans="1:12" s="2" customFormat="1" ht="93.6">
      <c r="A312" s="24" t="s">
        <v>116</v>
      </c>
      <c r="B312" s="23" t="s">
        <v>45</v>
      </c>
      <c r="C312" s="23" t="s">
        <v>225</v>
      </c>
      <c r="D312" s="23" t="s">
        <v>26</v>
      </c>
      <c r="E312" s="34">
        <f>E313</f>
        <v>453000</v>
      </c>
      <c r="F312" s="34">
        <f>F313</f>
        <v>1876550</v>
      </c>
      <c r="G312" s="34">
        <f>G313</f>
        <v>1876340</v>
      </c>
      <c r="H312" s="34">
        <f t="shared" si="38"/>
        <v>210</v>
      </c>
      <c r="I312" s="35">
        <f t="shared" si="39"/>
        <v>414.2</v>
      </c>
      <c r="J312" s="34"/>
      <c r="K312" s="34">
        <f t="shared" si="40"/>
        <v>99.99</v>
      </c>
      <c r="L312" s="34"/>
    </row>
    <row r="313" spans="1:12" s="2" customFormat="1" ht="15.6">
      <c r="A313" s="75" t="s">
        <v>131</v>
      </c>
      <c r="B313" s="23" t="s">
        <v>45</v>
      </c>
      <c r="C313" s="23" t="s">
        <v>225</v>
      </c>
      <c r="D313" s="23" t="s">
        <v>132</v>
      </c>
      <c r="E313" s="34">
        <f>453000</f>
        <v>453000</v>
      </c>
      <c r="F313" s="34">
        <f>453000+240000+1013550+170000</f>
        <v>1876550</v>
      </c>
      <c r="G313" s="34">
        <v>1876340</v>
      </c>
      <c r="H313" s="34">
        <f t="shared" si="38"/>
        <v>210</v>
      </c>
      <c r="I313" s="35">
        <f t="shared" si="39"/>
        <v>414.2</v>
      </c>
      <c r="J313" s="34"/>
      <c r="K313" s="34">
        <f t="shared" si="40"/>
        <v>99.99</v>
      </c>
      <c r="L313" s="31"/>
    </row>
    <row r="314" spans="1:12" s="2" customFormat="1" ht="78">
      <c r="A314" s="24" t="s">
        <v>269</v>
      </c>
      <c r="B314" s="23" t="s">
        <v>45</v>
      </c>
      <c r="C314" s="23" t="s">
        <v>226</v>
      </c>
      <c r="D314" s="23" t="s">
        <v>26</v>
      </c>
      <c r="E314" s="31">
        <f>E315</f>
        <v>80202235</v>
      </c>
      <c r="F314" s="31">
        <f>F315</f>
        <v>89033230</v>
      </c>
      <c r="G314" s="31">
        <f>G315</f>
        <v>89033230</v>
      </c>
      <c r="H314" s="31">
        <f t="shared" si="38"/>
        <v>0</v>
      </c>
      <c r="I314" s="32">
        <f t="shared" si="39"/>
        <v>111.01</v>
      </c>
      <c r="J314" s="31"/>
      <c r="K314" s="31">
        <f t="shared" si="40"/>
        <v>100</v>
      </c>
      <c r="L314" s="31"/>
    </row>
    <row r="315" spans="1:12" s="2" customFormat="1" ht="124.8">
      <c r="A315" s="24" t="s">
        <v>131</v>
      </c>
      <c r="B315" s="23" t="s">
        <v>45</v>
      </c>
      <c r="C315" s="23" t="s">
        <v>226</v>
      </c>
      <c r="D315" s="23" t="s">
        <v>132</v>
      </c>
      <c r="E315" s="42">
        <f>80202235</f>
        <v>80202235</v>
      </c>
      <c r="F315" s="42">
        <f>80202235+8830995</f>
        <v>89033230</v>
      </c>
      <c r="G315" s="42">
        <f>80202235+8830995</f>
        <v>89033230</v>
      </c>
      <c r="H315" s="42">
        <f t="shared" si="38"/>
        <v>0</v>
      </c>
      <c r="I315" s="44">
        <f t="shared" si="39"/>
        <v>111.01</v>
      </c>
      <c r="J315" s="42" t="s">
        <v>575</v>
      </c>
      <c r="K315" s="42">
        <f t="shared" si="40"/>
        <v>100</v>
      </c>
      <c r="L315" s="34"/>
    </row>
    <row r="316" spans="1:12" s="2" customFormat="1" ht="31.2">
      <c r="A316" s="98" t="s">
        <v>304</v>
      </c>
      <c r="B316" s="23" t="s">
        <v>45</v>
      </c>
      <c r="C316" s="23" t="s">
        <v>305</v>
      </c>
      <c r="D316" s="54" t="s">
        <v>26</v>
      </c>
      <c r="E316" s="31">
        <f t="shared" ref="E316:G317" si="46">E317</f>
        <v>0</v>
      </c>
      <c r="F316" s="31">
        <f t="shared" si="46"/>
        <v>0</v>
      </c>
      <c r="G316" s="31">
        <f t="shared" si="46"/>
        <v>0</v>
      </c>
      <c r="H316" s="31">
        <f t="shared" si="38"/>
        <v>0</v>
      </c>
      <c r="I316" s="32" t="e">
        <f t="shared" si="39"/>
        <v>#DIV/0!</v>
      </c>
      <c r="J316" s="31"/>
      <c r="K316" s="31" t="e">
        <f t="shared" si="40"/>
        <v>#DIV/0!</v>
      </c>
      <c r="L316" s="34"/>
    </row>
    <row r="317" spans="1:12" s="2" customFormat="1" ht="78">
      <c r="A317" s="24" t="s">
        <v>285</v>
      </c>
      <c r="B317" s="23" t="s">
        <v>45</v>
      </c>
      <c r="C317" s="23" t="s">
        <v>286</v>
      </c>
      <c r="D317" s="23" t="s">
        <v>26</v>
      </c>
      <c r="E317" s="34">
        <f t="shared" si="46"/>
        <v>0</v>
      </c>
      <c r="F317" s="34">
        <f t="shared" si="46"/>
        <v>0</v>
      </c>
      <c r="G317" s="34">
        <f t="shared" si="46"/>
        <v>0</v>
      </c>
      <c r="H317" s="34">
        <f t="shared" si="38"/>
        <v>0</v>
      </c>
      <c r="I317" s="35" t="e">
        <f t="shared" si="39"/>
        <v>#DIV/0!</v>
      </c>
      <c r="J317" s="34"/>
      <c r="K317" s="34" t="e">
        <f t="shared" si="40"/>
        <v>#DIV/0!</v>
      </c>
      <c r="L317" s="34"/>
    </row>
    <row r="318" spans="1:12" s="2" customFormat="1" ht="124.8">
      <c r="A318" s="24" t="s">
        <v>131</v>
      </c>
      <c r="B318" s="23" t="s">
        <v>45</v>
      </c>
      <c r="C318" s="23" t="s">
        <v>286</v>
      </c>
      <c r="D318" s="23" t="s">
        <v>132</v>
      </c>
      <c r="E318" s="34">
        <v>0</v>
      </c>
      <c r="F318" s="34">
        <v>0</v>
      </c>
      <c r="G318" s="34">
        <v>0</v>
      </c>
      <c r="H318" s="34">
        <f t="shared" si="38"/>
        <v>0</v>
      </c>
      <c r="I318" s="35" t="e">
        <f t="shared" si="39"/>
        <v>#DIV/0!</v>
      </c>
      <c r="J318" s="34"/>
      <c r="K318" s="34" t="e">
        <f t="shared" si="40"/>
        <v>#DIV/0!</v>
      </c>
      <c r="L318" s="45" t="s">
        <v>575</v>
      </c>
    </row>
    <row r="319" spans="1:12" s="2" customFormat="1" ht="78">
      <c r="A319" s="98" t="s">
        <v>489</v>
      </c>
      <c r="B319" s="23" t="s">
        <v>45</v>
      </c>
      <c r="C319" s="23" t="s">
        <v>465</v>
      </c>
      <c r="D319" s="54" t="s">
        <v>26</v>
      </c>
      <c r="E319" s="31">
        <f>E322+E320</f>
        <v>100000</v>
      </c>
      <c r="F319" s="31">
        <f>F322+F320</f>
        <v>0</v>
      </c>
      <c r="G319" s="31">
        <f>G322+G320</f>
        <v>0</v>
      </c>
      <c r="H319" s="31">
        <f t="shared" si="38"/>
        <v>0</v>
      </c>
      <c r="I319" s="32">
        <f t="shared" si="39"/>
        <v>0</v>
      </c>
      <c r="J319" s="31"/>
      <c r="K319" s="31" t="e">
        <f t="shared" si="40"/>
        <v>#DIV/0!</v>
      </c>
      <c r="L319" s="31"/>
    </row>
    <row r="320" spans="1:12" s="2" customFormat="1" ht="109.2">
      <c r="A320" s="24" t="s">
        <v>549</v>
      </c>
      <c r="B320" s="23" t="s">
        <v>45</v>
      </c>
      <c r="C320" s="33" t="s">
        <v>466</v>
      </c>
      <c r="D320" s="54" t="s">
        <v>26</v>
      </c>
      <c r="E320" s="34">
        <f>E321</f>
        <v>100000</v>
      </c>
      <c r="F320" s="34">
        <f>F321</f>
        <v>0</v>
      </c>
      <c r="G320" s="34">
        <f>G321</f>
        <v>0</v>
      </c>
      <c r="H320" s="34">
        <f t="shared" si="38"/>
        <v>0</v>
      </c>
      <c r="I320" s="35">
        <f t="shared" si="39"/>
        <v>0</v>
      </c>
      <c r="J320" s="34"/>
      <c r="K320" s="34" t="e">
        <f t="shared" si="40"/>
        <v>#DIV/0!</v>
      </c>
      <c r="L320" s="31"/>
    </row>
    <row r="321" spans="1:12" s="2" customFormat="1" ht="124.8">
      <c r="A321" s="24" t="s">
        <v>131</v>
      </c>
      <c r="B321" s="23" t="s">
        <v>45</v>
      </c>
      <c r="C321" s="33" t="s">
        <v>466</v>
      </c>
      <c r="D321" s="54" t="s">
        <v>132</v>
      </c>
      <c r="E321" s="34">
        <f>100000</f>
        <v>100000</v>
      </c>
      <c r="F321" s="34">
        <f>100000-100000</f>
        <v>0</v>
      </c>
      <c r="G321" s="34">
        <f>100000-100000</f>
        <v>0</v>
      </c>
      <c r="H321" s="34">
        <f t="shared" si="38"/>
        <v>0</v>
      </c>
      <c r="I321" s="35">
        <f t="shared" si="39"/>
        <v>0</v>
      </c>
      <c r="J321" s="45" t="s">
        <v>575</v>
      </c>
      <c r="K321" s="34" t="e">
        <f t="shared" si="40"/>
        <v>#DIV/0!</v>
      </c>
      <c r="L321" s="34"/>
    </row>
    <row r="322" spans="1:12" s="2" customFormat="1" ht="93.6">
      <c r="A322" s="24" t="s">
        <v>459</v>
      </c>
      <c r="B322" s="23" t="s">
        <v>45</v>
      </c>
      <c r="C322" s="33" t="s">
        <v>466</v>
      </c>
      <c r="D322" s="54" t="s">
        <v>26</v>
      </c>
      <c r="E322" s="34">
        <f>E323</f>
        <v>0</v>
      </c>
      <c r="F322" s="34">
        <f>F323</f>
        <v>0</v>
      </c>
      <c r="G322" s="34">
        <f>G323</f>
        <v>0</v>
      </c>
      <c r="H322" s="34">
        <f t="shared" si="38"/>
        <v>0</v>
      </c>
      <c r="I322" s="35" t="e">
        <f t="shared" si="39"/>
        <v>#DIV/0!</v>
      </c>
      <c r="J322" s="34"/>
      <c r="K322" s="34" t="e">
        <f t="shared" si="40"/>
        <v>#DIV/0!</v>
      </c>
      <c r="L322" s="34"/>
    </row>
    <row r="323" spans="1:12" s="2" customFormat="1" ht="124.8">
      <c r="A323" s="24" t="s">
        <v>131</v>
      </c>
      <c r="B323" s="23" t="s">
        <v>45</v>
      </c>
      <c r="C323" s="33" t="s">
        <v>466</v>
      </c>
      <c r="D323" s="54" t="s">
        <v>132</v>
      </c>
      <c r="E323" s="34">
        <f>100000-100000</f>
        <v>0</v>
      </c>
      <c r="F323" s="34">
        <f>100000-100000</f>
        <v>0</v>
      </c>
      <c r="G323" s="34">
        <f>100000-100000</f>
        <v>0</v>
      </c>
      <c r="H323" s="34">
        <f t="shared" si="38"/>
        <v>0</v>
      </c>
      <c r="I323" s="35" t="e">
        <f t="shared" si="39"/>
        <v>#DIV/0!</v>
      </c>
      <c r="J323" s="45" t="s">
        <v>575</v>
      </c>
      <c r="K323" s="34" t="e">
        <f t="shared" si="40"/>
        <v>#DIV/0!</v>
      </c>
      <c r="L323" s="34"/>
    </row>
    <row r="324" spans="1:12" s="2" customFormat="1" ht="15.6">
      <c r="A324" s="24" t="s">
        <v>31</v>
      </c>
      <c r="B324" s="54" t="s">
        <v>46</v>
      </c>
      <c r="C324" s="54" t="s">
        <v>147</v>
      </c>
      <c r="D324" s="54" t="s">
        <v>26</v>
      </c>
      <c r="E324" s="31">
        <f>E325</f>
        <v>469416609.62</v>
      </c>
      <c r="F324" s="31">
        <f>F325</f>
        <v>447955193.77999997</v>
      </c>
      <c r="G324" s="31">
        <f>G325</f>
        <v>447936578.82999998</v>
      </c>
      <c r="H324" s="31">
        <f t="shared" si="38"/>
        <v>18614.95</v>
      </c>
      <c r="I324" s="32">
        <f t="shared" si="39"/>
        <v>95.42</v>
      </c>
      <c r="J324" s="31"/>
      <c r="K324" s="31">
        <f t="shared" si="40"/>
        <v>100</v>
      </c>
      <c r="L324" s="34"/>
    </row>
    <row r="325" spans="1:12" s="2" customFormat="1" ht="46.8">
      <c r="A325" s="24" t="s">
        <v>495</v>
      </c>
      <c r="B325" s="54" t="s">
        <v>46</v>
      </c>
      <c r="C325" s="54" t="s">
        <v>0</v>
      </c>
      <c r="D325" s="54" t="s">
        <v>26</v>
      </c>
      <c r="E325" s="31">
        <f>E326+E363</f>
        <v>469416609.62</v>
      </c>
      <c r="F325" s="31">
        <f>F326+F363</f>
        <v>447955193.77999997</v>
      </c>
      <c r="G325" s="31">
        <f>G326+G363</f>
        <v>447936578.82999998</v>
      </c>
      <c r="H325" s="31">
        <f t="shared" si="38"/>
        <v>18614.95</v>
      </c>
      <c r="I325" s="32">
        <f t="shared" si="39"/>
        <v>95.42</v>
      </c>
      <c r="J325" s="31"/>
      <c r="K325" s="31">
        <f t="shared" si="40"/>
        <v>100</v>
      </c>
      <c r="L325" s="34"/>
    </row>
    <row r="326" spans="1:12" s="2" customFormat="1" ht="31.2">
      <c r="A326" s="24" t="s">
        <v>499</v>
      </c>
      <c r="B326" s="23" t="s">
        <v>46</v>
      </c>
      <c r="C326" s="23" t="s">
        <v>19</v>
      </c>
      <c r="D326" s="54" t="s">
        <v>26</v>
      </c>
      <c r="E326" s="31">
        <f>E327+E338+E345+E358</f>
        <v>466819369.51999998</v>
      </c>
      <c r="F326" s="31">
        <f>F327+F338+F345+F358</f>
        <v>445813236.98000002</v>
      </c>
      <c r="G326" s="31">
        <f>G327+G338+G345+G358</f>
        <v>445794622.02999997</v>
      </c>
      <c r="H326" s="31">
        <f t="shared" si="38"/>
        <v>18614.95</v>
      </c>
      <c r="I326" s="32">
        <f t="shared" si="39"/>
        <v>95.5</v>
      </c>
      <c r="J326" s="31"/>
      <c r="K326" s="31">
        <f t="shared" si="40"/>
        <v>100</v>
      </c>
      <c r="L326" s="34"/>
    </row>
    <row r="327" spans="1:12" s="2" customFormat="1" ht="31.2">
      <c r="A327" s="52" t="s">
        <v>309</v>
      </c>
      <c r="B327" s="23" t="s">
        <v>46</v>
      </c>
      <c r="C327" s="23" t="s">
        <v>306</v>
      </c>
      <c r="D327" s="54" t="s">
        <v>26</v>
      </c>
      <c r="E327" s="31">
        <f>E330+E332+E334+E336+E328</f>
        <v>385426225.98000002</v>
      </c>
      <c r="F327" s="31">
        <f>F330+F332+F334+F336+F328</f>
        <v>421559855.70999998</v>
      </c>
      <c r="G327" s="31">
        <f>G330+G332+G334+G336+G328</f>
        <v>421541240.75999999</v>
      </c>
      <c r="H327" s="31">
        <f t="shared" si="38"/>
        <v>18614.95</v>
      </c>
      <c r="I327" s="32">
        <f t="shared" si="39"/>
        <v>109.37</v>
      </c>
      <c r="J327" s="31"/>
      <c r="K327" s="31">
        <f t="shared" si="40"/>
        <v>100</v>
      </c>
      <c r="L327" s="34"/>
    </row>
    <row r="328" spans="1:12" s="2" customFormat="1" ht="171.6">
      <c r="A328" s="51" t="s">
        <v>560</v>
      </c>
      <c r="B328" s="23" t="s">
        <v>46</v>
      </c>
      <c r="C328" s="23" t="s">
        <v>559</v>
      </c>
      <c r="D328" s="54" t="s">
        <v>26</v>
      </c>
      <c r="E328" s="34">
        <f>E329</f>
        <v>0</v>
      </c>
      <c r="F328" s="34">
        <f>F329</f>
        <v>351540</v>
      </c>
      <c r="G328" s="34">
        <f>G329</f>
        <v>351540</v>
      </c>
      <c r="H328" s="34">
        <f t="shared" si="38"/>
        <v>0</v>
      </c>
      <c r="I328" s="35" t="e">
        <f t="shared" si="39"/>
        <v>#DIV/0!</v>
      </c>
      <c r="J328" s="34"/>
      <c r="K328" s="34">
        <f t="shared" si="40"/>
        <v>100</v>
      </c>
      <c r="L328" s="34"/>
    </row>
    <row r="329" spans="1:12" s="2" customFormat="1" ht="124.8">
      <c r="A329" s="24" t="s">
        <v>131</v>
      </c>
      <c r="B329" s="23" t="s">
        <v>46</v>
      </c>
      <c r="C329" s="23" t="s">
        <v>569</v>
      </c>
      <c r="D329" s="54" t="s">
        <v>132</v>
      </c>
      <c r="E329" s="45">
        <v>0</v>
      </c>
      <c r="F329" s="45">
        <v>351540</v>
      </c>
      <c r="G329" s="45">
        <v>351540</v>
      </c>
      <c r="H329" s="45">
        <f t="shared" ref="H329:H392" si="47">$F329-$G329</f>
        <v>0</v>
      </c>
      <c r="I329" s="57" t="e">
        <f t="shared" ref="I329:I392" si="48">$G329/$E329*100</f>
        <v>#DIV/0!</v>
      </c>
      <c r="J329" s="45" t="s">
        <v>575</v>
      </c>
      <c r="K329" s="45">
        <f t="shared" ref="K329:K392" si="49">$G329/$F329*100</f>
        <v>100</v>
      </c>
      <c r="L329" s="34"/>
    </row>
    <row r="330" spans="1:12" s="2" customFormat="1" ht="156">
      <c r="A330" s="51" t="s">
        <v>283</v>
      </c>
      <c r="B330" s="23" t="s">
        <v>46</v>
      </c>
      <c r="C330" s="23" t="s">
        <v>234</v>
      </c>
      <c r="D330" s="54" t="s">
        <v>26</v>
      </c>
      <c r="E330" s="34">
        <f>E331</f>
        <v>23049000</v>
      </c>
      <c r="F330" s="34">
        <f>F331</f>
        <v>23858640</v>
      </c>
      <c r="G330" s="34">
        <f>G331</f>
        <v>23858640</v>
      </c>
      <c r="H330" s="34">
        <f t="shared" si="47"/>
        <v>0</v>
      </c>
      <c r="I330" s="35">
        <f t="shared" si="48"/>
        <v>103.51</v>
      </c>
      <c r="J330" s="34"/>
      <c r="K330" s="34">
        <f t="shared" si="49"/>
        <v>100</v>
      </c>
      <c r="L330" s="31"/>
    </row>
    <row r="331" spans="1:12" s="2" customFormat="1" ht="15.6">
      <c r="A331" s="24" t="s">
        <v>131</v>
      </c>
      <c r="B331" s="23" t="s">
        <v>46</v>
      </c>
      <c r="C331" s="23" t="s">
        <v>234</v>
      </c>
      <c r="D331" s="54" t="s">
        <v>132</v>
      </c>
      <c r="E331" s="45">
        <f>23049000</f>
        <v>23049000</v>
      </c>
      <c r="F331" s="45">
        <f>23049000-4797000+2808000+6091020-3292380</f>
        <v>23858640</v>
      </c>
      <c r="G331" s="45">
        <f>23049000-4797000+2808000+6091020-3292380</f>
        <v>23858640</v>
      </c>
      <c r="H331" s="45">
        <f t="shared" si="47"/>
        <v>0</v>
      </c>
      <c r="I331" s="57">
        <f t="shared" si="48"/>
        <v>103.51</v>
      </c>
      <c r="J331" s="45"/>
      <c r="K331" s="45">
        <f t="shared" si="49"/>
        <v>100</v>
      </c>
      <c r="L331" s="31"/>
    </row>
    <row r="332" spans="1:12" s="2" customFormat="1" ht="46.8">
      <c r="A332" s="24" t="s">
        <v>112</v>
      </c>
      <c r="B332" s="23" t="s">
        <v>46</v>
      </c>
      <c r="C332" s="23" t="s">
        <v>221</v>
      </c>
      <c r="D332" s="54" t="s">
        <v>26</v>
      </c>
      <c r="E332" s="34">
        <f>E333</f>
        <v>148390716.28</v>
      </c>
      <c r="F332" s="34">
        <f>F333</f>
        <v>144932888.28</v>
      </c>
      <c r="G332" s="34">
        <f>G333</f>
        <v>144932888.28</v>
      </c>
      <c r="H332" s="34">
        <f t="shared" si="47"/>
        <v>0</v>
      </c>
      <c r="I332" s="35">
        <f t="shared" si="48"/>
        <v>97.67</v>
      </c>
      <c r="J332" s="34"/>
      <c r="K332" s="34">
        <f t="shared" si="49"/>
        <v>100</v>
      </c>
      <c r="L332" s="31"/>
    </row>
    <row r="333" spans="1:12" s="2" customFormat="1" ht="15.6">
      <c r="A333" s="24" t="s">
        <v>131</v>
      </c>
      <c r="B333" s="23" t="s">
        <v>46</v>
      </c>
      <c r="C333" s="23" t="s">
        <v>221</v>
      </c>
      <c r="D333" s="54" t="s">
        <v>132</v>
      </c>
      <c r="E333" s="34">
        <f>148390716.28</f>
        <v>148390716.28</v>
      </c>
      <c r="F333" s="34">
        <f>148390716.28-3457828</f>
        <v>144932888.28</v>
      </c>
      <c r="G333" s="34">
        <f>148390716.28-3457828</f>
        <v>144932888.28</v>
      </c>
      <c r="H333" s="34">
        <f t="shared" si="47"/>
        <v>0</v>
      </c>
      <c r="I333" s="35">
        <f t="shared" si="48"/>
        <v>97.67</v>
      </c>
      <c r="J333" s="34"/>
      <c r="K333" s="34">
        <f t="shared" si="49"/>
        <v>100</v>
      </c>
      <c r="L333" s="34"/>
    </row>
    <row r="334" spans="1:12" s="2" customFormat="1" ht="93.6">
      <c r="A334" s="24" t="s">
        <v>116</v>
      </c>
      <c r="B334" s="23" t="s">
        <v>46</v>
      </c>
      <c r="C334" s="23" t="s">
        <v>222</v>
      </c>
      <c r="D334" s="54" t="s">
        <v>26</v>
      </c>
      <c r="E334" s="34">
        <f>E335</f>
        <v>10097827.699999999</v>
      </c>
      <c r="F334" s="34">
        <f>F335</f>
        <v>37649104.43</v>
      </c>
      <c r="G334" s="34">
        <f>G335</f>
        <v>37630489.479999997</v>
      </c>
      <c r="H334" s="34">
        <f t="shared" si="47"/>
        <v>18614.95</v>
      </c>
      <c r="I334" s="35">
        <f t="shared" si="48"/>
        <v>372.66</v>
      </c>
      <c r="J334" s="34"/>
      <c r="K334" s="34">
        <f t="shared" si="49"/>
        <v>99.95</v>
      </c>
      <c r="L334" s="34"/>
    </row>
    <row r="335" spans="1:12" s="2" customFormat="1" ht="15.6">
      <c r="A335" s="24" t="s">
        <v>131</v>
      </c>
      <c r="B335" s="23" t="s">
        <v>46</v>
      </c>
      <c r="C335" s="23" t="s">
        <v>222</v>
      </c>
      <c r="D335" s="54" t="s">
        <v>132</v>
      </c>
      <c r="E335" s="34">
        <f>10097827.7</f>
        <v>10097827.699999999</v>
      </c>
      <c r="F335" s="34">
        <f>10097827.7+17684530+5540211.6-212387.45+4538922.58</f>
        <v>37649104.43</v>
      </c>
      <c r="G335" s="34">
        <v>37630489.479999997</v>
      </c>
      <c r="H335" s="34">
        <f t="shared" si="47"/>
        <v>18614.95</v>
      </c>
      <c r="I335" s="35">
        <f t="shared" si="48"/>
        <v>372.66</v>
      </c>
      <c r="J335" s="34"/>
      <c r="K335" s="34">
        <f t="shared" si="49"/>
        <v>99.95</v>
      </c>
      <c r="L335" s="29"/>
    </row>
    <row r="336" spans="1:12" s="2" customFormat="1" ht="109.2">
      <c r="A336" s="99" t="s">
        <v>268</v>
      </c>
      <c r="B336" s="23" t="s">
        <v>46</v>
      </c>
      <c r="C336" s="23" t="s">
        <v>223</v>
      </c>
      <c r="D336" s="54" t="s">
        <v>26</v>
      </c>
      <c r="E336" s="31">
        <f>E337</f>
        <v>203888682</v>
      </c>
      <c r="F336" s="31">
        <f>F337</f>
        <v>214767683</v>
      </c>
      <c r="G336" s="31">
        <f>G337</f>
        <v>214767683</v>
      </c>
      <c r="H336" s="31">
        <f t="shared" si="47"/>
        <v>0</v>
      </c>
      <c r="I336" s="32">
        <f t="shared" si="48"/>
        <v>105.34</v>
      </c>
      <c r="J336" s="31"/>
      <c r="K336" s="31">
        <f t="shared" si="49"/>
        <v>100</v>
      </c>
      <c r="L336" s="31"/>
    </row>
    <row r="337" spans="1:12" s="2" customFormat="1" ht="124.8">
      <c r="A337" s="24" t="s">
        <v>131</v>
      </c>
      <c r="B337" s="23" t="s">
        <v>46</v>
      </c>
      <c r="C337" s="23" t="s">
        <v>223</v>
      </c>
      <c r="D337" s="54" t="s">
        <v>132</v>
      </c>
      <c r="E337" s="42">
        <f>203888682</f>
        <v>203888682</v>
      </c>
      <c r="F337" s="42">
        <f>203888682+10879001</f>
        <v>214767683</v>
      </c>
      <c r="G337" s="42">
        <f>203888682+10879001</f>
        <v>214767683</v>
      </c>
      <c r="H337" s="42">
        <f t="shared" si="47"/>
        <v>0</v>
      </c>
      <c r="I337" s="44">
        <f t="shared" si="48"/>
        <v>105.34</v>
      </c>
      <c r="J337" s="42" t="s">
        <v>575</v>
      </c>
      <c r="K337" s="42">
        <f t="shared" si="49"/>
        <v>100</v>
      </c>
      <c r="L337" s="31"/>
    </row>
    <row r="338" spans="1:12" s="2" customFormat="1" ht="31.2">
      <c r="A338" s="98" t="s">
        <v>308</v>
      </c>
      <c r="B338" s="23" t="s">
        <v>46</v>
      </c>
      <c r="C338" s="23" t="s">
        <v>307</v>
      </c>
      <c r="D338" s="54" t="s">
        <v>26</v>
      </c>
      <c r="E338" s="31">
        <f>E339+E341+E343</f>
        <v>23260100</v>
      </c>
      <c r="F338" s="31">
        <f>F339+F341+F343</f>
        <v>21603192</v>
      </c>
      <c r="G338" s="31">
        <f>G339+G341+G343</f>
        <v>21603192</v>
      </c>
      <c r="H338" s="31">
        <f t="shared" si="47"/>
        <v>0</v>
      </c>
      <c r="I338" s="32">
        <f t="shared" si="48"/>
        <v>92.88</v>
      </c>
      <c r="J338" s="31"/>
      <c r="K338" s="31">
        <f t="shared" si="49"/>
        <v>100</v>
      </c>
      <c r="L338" s="31"/>
    </row>
    <row r="339" spans="1:12" s="2" customFormat="1" ht="31.2">
      <c r="A339" s="24" t="s">
        <v>313</v>
      </c>
      <c r="B339" s="23" t="s">
        <v>46</v>
      </c>
      <c r="C339" s="53" t="s">
        <v>312</v>
      </c>
      <c r="D339" s="54" t="s">
        <v>26</v>
      </c>
      <c r="E339" s="31">
        <f>E340</f>
        <v>475000</v>
      </c>
      <c r="F339" s="31">
        <f>F340</f>
        <v>762705</v>
      </c>
      <c r="G339" s="31">
        <f>G340</f>
        <v>762705</v>
      </c>
      <c r="H339" s="31">
        <f t="shared" si="47"/>
        <v>0</v>
      </c>
      <c r="I339" s="32">
        <f t="shared" si="48"/>
        <v>160.57</v>
      </c>
      <c r="J339" s="31"/>
      <c r="K339" s="31">
        <f t="shared" si="49"/>
        <v>100</v>
      </c>
      <c r="L339" s="31"/>
    </row>
    <row r="340" spans="1:12" s="1" customFormat="1" ht="15.6">
      <c r="A340" s="24" t="s">
        <v>131</v>
      </c>
      <c r="B340" s="23" t="s">
        <v>46</v>
      </c>
      <c r="C340" s="53" t="s">
        <v>312</v>
      </c>
      <c r="D340" s="54" t="s">
        <v>132</v>
      </c>
      <c r="E340" s="45">
        <f>475000</f>
        <v>475000</v>
      </c>
      <c r="F340" s="45">
        <f>475000+287705</f>
        <v>762705</v>
      </c>
      <c r="G340" s="45">
        <f>475000+287705</f>
        <v>762705</v>
      </c>
      <c r="H340" s="45">
        <f t="shared" si="47"/>
        <v>0</v>
      </c>
      <c r="I340" s="57">
        <f t="shared" si="48"/>
        <v>160.57</v>
      </c>
      <c r="J340" s="45"/>
      <c r="K340" s="45">
        <f t="shared" si="49"/>
        <v>100</v>
      </c>
      <c r="L340" s="34"/>
    </row>
    <row r="341" spans="1:12" s="1" customFormat="1" ht="62.4">
      <c r="A341" s="24" t="s">
        <v>271</v>
      </c>
      <c r="B341" s="23" t="s">
        <v>46</v>
      </c>
      <c r="C341" s="53" t="s">
        <v>310</v>
      </c>
      <c r="D341" s="54" t="s">
        <v>26</v>
      </c>
      <c r="E341" s="31">
        <f>E342</f>
        <v>6673350</v>
      </c>
      <c r="F341" s="31">
        <f>F342</f>
        <v>6047087</v>
      </c>
      <c r="G341" s="31">
        <f>G342</f>
        <v>6047087</v>
      </c>
      <c r="H341" s="31">
        <f t="shared" si="47"/>
        <v>0</v>
      </c>
      <c r="I341" s="32">
        <f t="shared" si="48"/>
        <v>90.62</v>
      </c>
      <c r="J341" s="31"/>
      <c r="K341" s="31">
        <f t="shared" si="49"/>
        <v>100</v>
      </c>
      <c r="L341" s="34"/>
    </row>
    <row r="342" spans="1:12" s="1" customFormat="1" ht="124.8">
      <c r="A342" s="24" t="s">
        <v>131</v>
      </c>
      <c r="B342" s="23" t="s">
        <v>46</v>
      </c>
      <c r="C342" s="53" t="s">
        <v>310</v>
      </c>
      <c r="D342" s="54" t="s">
        <v>132</v>
      </c>
      <c r="E342" s="42">
        <f>6673350</f>
        <v>6673350</v>
      </c>
      <c r="F342" s="42">
        <f>6673350-626263</f>
        <v>6047087</v>
      </c>
      <c r="G342" s="42">
        <f>6673350-626263</f>
        <v>6047087</v>
      </c>
      <c r="H342" s="42">
        <f t="shared" si="47"/>
        <v>0</v>
      </c>
      <c r="I342" s="44">
        <f t="shared" si="48"/>
        <v>90.62</v>
      </c>
      <c r="J342" s="42" t="s">
        <v>575</v>
      </c>
      <c r="K342" s="42">
        <f t="shared" si="49"/>
        <v>100</v>
      </c>
      <c r="L342" s="34"/>
    </row>
    <row r="343" spans="1:12" s="1" customFormat="1" ht="78">
      <c r="A343" s="51" t="s">
        <v>273</v>
      </c>
      <c r="B343" s="23" t="s">
        <v>46</v>
      </c>
      <c r="C343" s="53" t="s">
        <v>311</v>
      </c>
      <c r="D343" s="54" t="s">
        <v>26</v>
      </c>
      <c r="E343" s="31">
        <f>E344</f>
        <v>16111750</v>
      </c>
      <c r="F343" s="31">
        <f>F344</f>
        <v>14793400</v>
      </c>
      <c r="G343" s="31">
        <f>G344</f>
        <v>14793400</v>
      </c>
      <c r="H343" s="31">
        <f t="shared" si="47"/>
        <v>0</v>
      </c>
      <c r="I343" s="32">
        <f t="shared" si="48"/>
        <v>91.82</v>
      </c>
      <c r="J343" s="31"/>
      <c r="K343" s="31">
        <f t="shared" si="49"/>
        <v>100</v>
      </c>
      <c r="L343" s="34"/>
    </row>
    <row r="344" spans="1:12" s="2" customFormat="1" ht="124.8">
      <c r="A344" s="24" t="s">
        <v>131</v>
      </c>
      <c r="B344" s="23" t="s">
        <v>46</v>
      </c>
      <c r="C344" s="53" t="s">
        <v>311</v>
      </c>
      <c r="D344" s="54" t="s">
        <v>132</v>
      </c>
      <c r="E344" s="42">
        <f>16111750</f>
        <v>16111750</v>
      </c>
      <c r="F344" s="42">
        <f>16111750+1762900-3081250</f>
        <v>14793400</v>
      </c>
      <c r="G344" s="42">
        <f>16111750+1762900-3081250</f>
        <v>14793400</v>
      </c>
      <c r="H344" s="42">
        <f t="shared" si="47"/>
        <v>0</v>
      </c>
      <c r="I344" s="44">
        <f t="shared" si="48"/>
        <v>91.82</v>
      </c>
      <c r="J344" s="42" t="s">
        <v>575</v>
      </c>
      <c r="K344" s="42">
        <f t="shared" si="49"/>
        <v>100</v>
      </c>
      <c r="L344" s="34"/>
    </row>
    <row r="345" spans="1:12" s="2" customFormat="1" ht="78">
      <c r="A345" s="24" t="s">
        <v>314</v>
      </c>
      <c r="B345" s="23" t="s">
        <v>46</v>
      </c>
      <c r="C345" s="23" t="s">
        <v>315</v>
      </c>
      <c r="D345" s="54" t="s">
        <v>26</v>
      </c>
      <c r="E345" s="31">
        <f>E354+E356+E346+E348+E350+E352</f>
        <v>57983043.539999999</v>
      </c>
      <c r="F345" s="31">
        <f>F354+F356+F346+F348+F350+F352</f>
        <v>2650189.27</v>
      </c>
      <c r="G345" s="31">
        <f>G354+G356+G346+G348+G350+G352</f>
        <v>2650189.27</v>
      </c>
      <c r="H345" s="31">
        <f t="shared" si="47"/>
        <v>0</v>
      </c>
      <c r="I345" s="32">
        <f t="shared" si="48"/>
        <v>4.57</v>
      </c>
      <c r="J345" s="31"/>
      <c r="K345" s="31">
        <f t="shared" si="49"/>
        <v>100</v>
      </c>
      <c r="L345" s="34"/>
    </row>
    <row r="346" spans="1:12" s="2" customFormat="1" ht="62.4">
      <c r="A346" s="51" t="s">
        <v>532</v>
      </c>
      <c r="B346" s="23" t="s">
        <v>46</v>
      </c>
      <c r="C346" s="51" t="s">
        <v>533</v>
      </c>
      <c r="D346" s="54" t="s">
        <v>26</v>
      </c>
      <c r="E346" s="31">
        <f>E347</f>
        <v>0</v>
      </c>
      <c r="F346" s="31">
        <f>F347</f>
        <v>1192499.3799999999</v>
      </c>
      <c r="G346" s="31">
        <f>G347</f>
        <v>1192499.3799999999</v>
      </c>
      <c r="H346" s="31">
        <f t="shared" si="47"/>
        <v>0</v>
      </c>
      <c r="I346" s="32" t="e">
        <f t="shared" si="48"/>
        <v>#DIV/0!</v>
      </c>
      <c r="J346" s="31"/>
      <c r="K346" s="31">
        <f t="shared" si="49"/>
        <v>100</v>
      </c>
      <c r="L346" s="31"/>
    </row>
    <row r="347" spans="1:12" s="2" customFormat="1" ht="124.8">
      <c r="A347" s="24" t="s">
        <v>131</v>
      </c>
      <c r="B347" s="23" t="s">
        <v>46</v>
      </c>
      <c r="C347" s="51" t="s">
        <v>533</v>
      </c>
      <c r="D347" s="54" t="s">
        <v>132</v>
      </c>
      <c r="E347" s="59">
        <f>0</f>
        <v>0</v>
      </c>
      <c r="F347" s="59">
        <f>1500000-307500.62</f>
        <v>1192499.3799999999</v>
      </c>
      <c r="G347" s="59">
        <f>1500000-307500.62</f>
        <v>1192499.3799999999</v>
      </c>
      <c r="H347" s="59">
        <f t="shared" si="47"/>
        <v>0</v>
      </c>
      <c r="I347" s="60" t="e">
        <f t="shared" si="48"/>
        <v>#DIV/0!</v>
      </c>
      <c r="J347" s="42" t="s">
        <v>575</v>
      </c>
      <c r="K347" s="31">
        <f t="shared" si="49"/>
        <v>100</v>
      </c>
      <c r="L347" s="45" t="s">
        <v>575</v>
      </c>
    </row>
    <row r="348" spans="1:12" s="2" customFormat="1" ht="78">
      <c r="A348" s="51" t="s">
        <v>537</v>
      </c>
      <c r="B348" s="23" t="s">
        <v>46</v>
      </c>
      <c r="C348" s="51" t="s">
        <v>533</v>
      </c>
      <c r="D348" s="54" t="s">
        <v>26</v>
      </c>
      <c r="E348" s="31">
        <f>E349</f>
        <v>0</v>
      </c>
      <c r="F348" s="31">
        <f>F349</f>
        <v>12045.46</v>
      </c>
      <c r="G348" s="31">
        <f>G349</f>
        <v>12045.46</v>
      </c>
      <c r="H348" s="31">
        <f t="shared" si="47"/>
        <v>0</v>
      </c>
      <c r="I348" s="32" t="e">
        <f t="shared" si="48"/>
        <v>#DIV/0!</v>
      </c>
      <c r="J348" s="31"/>
      <c r="K348" s="31">
        <f t="shared" si="49"/>
        <v>100</v>
      </c>
      <c r="L348" s="31"/>
    </row>
    <row r="349" spans="1:12" s="2" customFormat="1" ht="124.8">
      <c r="A349" s="24" t="s">
        <v>131</v>
      </c>
      <c r="B349" s="23" t="s">
        <v>46</v>
      </c>
      <c r="C349" s="51" t="s">
        <v>533</v>
      </c>
      <c r="D349" s="54" t="s">
        <v>132</v>
      </c>
      <c r="E349" s="34">
        <v>0</v>
      </c>
      <c r="F349" s="34">
        <f>15151.52-3106.06</f>
        <v>12045.46</v>
      </c>
      <c r="G349" s="34">
        <f>15151.52-3106.06</f>
        <v>12045.46</v>
      </c>
      <c r="H349" s="34">
        <f t="shared" si="47"/>
        <v>0</v>
      </c>
      <c r="I349" s="35" t="e">
        <f t="shared" si="48"/>
        <v>#DIV/0!</v>
      </c>
      <c r="J349" s="45" t="s">
        <v>575</v>
      </c>
      <c r="K349" s="34">
        <f t="shared" si="49"/>
        <v>100</v>
      </c>
      <c r="L349" s="42" t="s">
        <v>575</v>
      </c>
    </row>
    <row r="350" spans="1:12" s="2" customFormat="1" ht="62.4">
      <c r="A350" s="51" t="s">
        <v>535</v>
      </c>
      <c r="B350" s="23" t="s">
        <v>46</v>
      </c>
      <c r="C350" s="51" t="s">
        <v>534</v>
      </c>
      <c r="D350" s="54" t="s">
        <v>26</v>
      </c>
      <c r="E350" s="31">
        <f>E351</f>
        <v>0</v>
      </c>
      <c r="F350" s="31">
        <f>F351</f>
        <v>1214999.3999999999</v>
      </c>
      <c r="G350" s="31">
        <f>G351</f>
        <v>1214999.3999999999</v>
      </c>
      <c r="H350" s="31">
        <f t="shared" si="47"/>
        <v>0</v>
      </c>
      <c r="I350" s="32" t="e">
        <f t="shared" si="48"/>
        <v>#DIV/0!</v>
      </c>
      <c r="J350" s="31"/>
      <c r="K350" s="31">
        <f t="shared" si="49"/>
        <v>100</v>
      </c>
      <c r="L350" s="31"/>
    </row>
    <row r="351" spans="1:12" s="1" customFormat="1" ht="124.8">
      <c r="A351" s="24" t="s">
        <v>131</v>
      </c>
      <c r="B351" s="23" t="s">
        <v>46</v>
      </c>
      <c r="C351" s="51" t="s">
        <v>534</v>
      </c>
      <c r="D351" s="54" t="s">
        <v>132</v>
      </c>
      <c r="E351" s="31">
        <v>0</v>
      </c>
      <c r="F351" s="31">
        <f>1500000-285000.6</f>
        <v>1214999.3999999999</v>
      </c>
      <c r="G351" s="31">
        <f>1500000-285000.6</f>
        <v>1214999.3999999999</v>
      </c>
      <c r="H351" s="31">
        <f t="shared" si="47"/>
        <v>0</v>
      </c>
      <c r="I351" s="32" t="e">
        <f t="shared" si="48"/>
        <v>#DIV/0!</v>
      </c>
      <c r="J351" s="42" t="s">
        <v>575</v>
      </c>
      <c r="K351" s="31">
        <f t="shared" si="49"/>
        <v>100</v>
      </c>
      <c r="L351" s="34"/>
    </row>
    <row r="352" spans="1:12" s="1" customFormat="1" ht="124.8">
      <c r="A352" s="51" t="s">
        <v>536</v>
      </c>
      <c r="B352" s="23" t="s">
        <v>46</v>
      </c>
      <c r="C352" s="51" t="s">
        <v>534</v>
      </c>
      <c r="D352" s="54" t="s">
        <v>26</v>
      </c>
      <c r="E352" s="31">
        <f>E353</f>
        <v>0</v>
      </c>
      <c r="F352" s="31">
        <f>F353</f>
        <v>230645.03</v>
      </c>
      <c r="G352" s="31">
        <f>G353</f>
        <v>230645.03</v>
      </c>
      <c r="H352" s="31">
        <f t="shared" si="47"/>
        <v>0</v>
      </c>
      <c r="I352" s="32" t="e">
        <f t="shared" si="48"/>
        <v>#DIV/0!</v>
      </c>
      <c r="J352" s="31"/>
      <c r="K352" s="31">
        <f t="shared" si="49"/>
        <v>100</v>
      </c>
      <c r="L352" s="45" t="s">
        <v>575</v>
      </c>
    </row>
    <row r="353" spans="1:12" s="1" customFormat="1" ht="124.8">
      <c r="A353" s="24" t="s">
        <v>131</v>
      </c>
      <c r="B353" s="23" t="s">
        <v>46</v>
      </c>
      <c r="C353" s="51" t="s">
        <v>534</v>
      </c>
      <c r="D353" s="54" t="s">
        <v>132</v>
      </c>
      <c r="E353" s="34">
        <v>0</v>
      </c>
      <c r="F353" s="34">
        <f>15151.52+215493.51</f>
        <v>230645.03</v>
      </c>
      <c r="G353" s="34">
        <f>15151.52+215493.51</f>
        <v>230645.03</v>
      </c>
      <c r="H353" s="34">
        <f t="shared" si="47"/>
        <v>0</v>
      </c>
      <c r="I353" s="35" t="e">
        <f t="shared" si="48"/>
        <v>#DIV/0!</v>
      </c>
      <c r="J353" s="45" t="s">
        <v>575</v>
      </c>
      <c r="K353" s="34">
        <f t="shared" si="49"/>
        <v>100</v>
      </c>
      <c r="L353" s="61"/>
    </row>
    <row r="354" spans="1:12" s="1" customFormat="1" ht="31.2">
      <c r="A354" s="51" t="s">
        <v>243</v>
      </c>
      <c r="B354" s="23" t="s">
        <v>46</v>
      </c>
      <c r="C354" s="51" t="s">
        <v>316</v>
      </c>
      <c r="D354" s="54" t="s">
        <v>26</v>
      </c>
      <c r="E354" s="31">
        <f>E355</f>
        <v>55083891.359999999</v>
      </c>
      <c r="F354" s="31">
        <f>F355</f>
        <v>0</v>
      </c>
      <c r="G354" s="31">
        <f>G355</f>
        <v>0</v>
      </c>
      <c r="H354" s="31">
        <f t="shared" si="47"/>
        <v>0</v>
      </c>
      <c r="I354" s="32">
        <f t="shared" si="48"/>
        <v>0</v>
      </c>
      <c r="J354" s="31"/>
      <c r="K354" s="31" t="e">
        <f t="shared" si="49"/>
        <v>#DIV/0!</v>
      </c>
      <c r="L354" s="34"/>
    </row>
    <row r="355" spans="1:12" s="1" customFormat="1" ht="124.8">
      <c r="A355" s="24" t="s">
        <v>131</v>
      </c>
      <c r="B355" s="23" t="s">
        <v>46</v>
      </c>
      <c r="C355" s="51" t="s">
        <v>316</v>
      </c>
      <c r="D355" s="54" t="s">
        <v>132</v>
      </c>
      <c r="E355" s="31">
        <f>55083891.36</f>
        <v>55083891.359999999</v>
      </c>
      <c r="F355" s="31">
        <f>55083891.36-55083891.36</f>
        <v>0</v>
      </c>
      <c r="G355" s="31">
        <f>55083891.36-55083891.36</f>
        <v>0</v>
      </c>
      <c r="H355" s="31">
        <f t="shared" si="47"/>
        <v>0</v>
      </c>
      <c r="I355" s="32">
        <f t="shared" si="48"/>
        <v>0</v>
      </c>
      <c r="J355" s="42" t="s">
        <v>575</v>
      </c>
      <c r="K355" s="31" t="e">
        <f t="shared" si="49"/>
        <v>#DIV/0!</v>
      </c>
      <c r="L355" s="34"/>
    </row>
    <row r="356" spans="1:12" s="1" customFormat="1" ht="46.8">
      <c r="A356" s="51" t="s">
        <v>244</v>
      </c>
      <c r="B356" s="23" t="s">
        <v>46</v>
      </c>
      <c r="C356" s="51" t="s">
        <v>316</v>
      </c>
      <c r="D356" s="54" t="s">
        <v>26</v>
      </c>
      <c r="E356" s="31">
        <f>E357</f>
        <v>2899152.18</v>
      </c>
      <c r="F356" s="31">
        <f>F357</f>
        <v>0</v>
      </c>
      <c r="G356" s="31">
        <f>G357</f>
        <v>0</v>
      </c>
      <c r="H356" s="31">
        <f t="shared" si="47"/>
        <v>0</v>
      </c>
      <c r="I356" s="32">
        <f t="shared" si="48"/>
        <v>0</v>
      </c>
      <c r="J356" s="31"/>
      <c r="K356" s="31" t="e">
        <f t="shared" si="49"/>
        <v>#DIV/0!</v>
      </c>
      <c r="L356" s="34"/>
    </row>
    <row r="357" spans="1:12" s="1" customFormat="1" ht="124.8">
      <c r="A357" s="24" t="s">
        <v>131</v>
      </c>
      <c r="B357" s="23" t="s">
        <v>46</v>
      </c>
      <c r="C357" s="51" t="s">
        <v>316</v>
      </c>
      <c r="D357" s="54" t="s">
        <v>132</v>
      </c>
      <c r="E357" s="34">
        <f>2899152.18</f>
        <v>2899152.18</v>
      </c>
      <c r="F357" s="34">
        <f>2899152.18-2899152.18</f>
        <v>0</v>
      </c>
      <c r="G357" s="34">
        <f>2899152.18-2899152.18</f>
        <v>0</v>
      </c>
      <c r="H357" s="34">
        <f t="shared" si="47"/>
        <v>0</v>
      </c>
      <c r="I357" s="35">
        <f t="shared" si="48"/>
        <v>0</v>
      </c>
      <c r="J357" s="45" t="s">
        <v>575</v>
      </c>
      <c r="K357" s="34" t="e">
        <f t="shared" si="49"/>
        <v>#DIV/0!</v>
      </c>
      <c r="L357" s="34"/>
    </row>
    <row r="358" spans="1:12" s="1" customFormat="1" ht="78">
      <c r="A358" s="98" t="s">
        <v>500</v>
      </c>
      <c r="B358" s="23" t="s">
        <v>46</v>
      </c>
      <c r="C358" s="23" t="s">
        <v>460</v>
      </c>
      <c r="D358" s="54" t="s">
        <v>26</v>
      </c>
      <c r="E358" s="31">
        <f>E362+E359</f>
        <v>150000</v>
      </c>
      <c r="F358" s="31">
        <f>F362+F359</f>
        <v>0</v>
      </c>
      <c r="G358" s="31">
        <f>G362+G359</f>
        <v>0</v>
      </c>
      <c r="H358" s="31">
        <f t="shared" si="47"/>
        <v>0</v>
      </c>
      <c r="I358" s="32">
        <f t="shared" si="48"/>
        <v>0</v>
      </c>
      <c r="J358" s="31"/>
      <c r="K358" s="31" t="e">
        <f t="shared" si="49"/>
        <v>#DIV/0!</v>
      </c>
      <c r="L358" s="34"/>
    </row>
    <row r="359" spans="1:12" s="2" customFormat="1" ht="124.8">
      <c r="A359" s="24" t="s">
        <v>550</v>
      </c>
      <c r="B359" s="23" t="s">
        <v>46</v>
      </c>
      <c r="C359" s="33" t="s">
        <v>462</v>
      </c>
      <c r="D359" s="54" t="s">
        <v>26</v>
      </c>
      <c r="E359" s="34">
        <f>E360</f>
        <v>150000</v>
      </c>
      <c r="F359" s="34">
        <f>F360</f>
        <v>0</v>
      </c>
      <c r="G359" s="34">
        <f>G360</f>
        <v>0</v>
      </c>
      <c r="H359" s="34">
        <f t="shared" si="47"/>
        <v>0</v>
      </c>
      <c r="I359" s="35">
        <f t="shared" si="48"/>
        <v>0</v>
      </c>
      <c r="J359" s="34"/>
      <c r="K359" s="34" t="e">
        <f t="shared" si="49"/>
        <v>#DIV/0!</v>
      </c>
      <c r="L359" s="34"/>
    </row>
    <row r="360" spans="1:12" s="2" customFormat="1" ht="124.8">
      <c r="A360" s="24" t="s">
        <v>131</v>
      </c>
      <c r="B360" s="23" t="s">
        <v>46</v>
      </c>
      <c r="C360" s="33" t="s">
        <v>462</v>
      </c>
      <c r="D360" s="54" t="s">
        <v>132</v>
      </c>
      <c r="E360" s="34">
        <f>150000</f>
        <v>150000</v>
      </c>
      <c r="F360" s="34">
        <f>150000-150000</f>
        <v>0</v>
      </c>
      <c r="G360" s="34">
        <f>150000-150000</f>
        <v>0</v>
      </c>
      <c r="H360" s="34">
        <f t="shared" si="47"/>
        <v>0</v>
      </c>
      <c r="I360" s="35">
        <f t="shared" si="48"/>
        <v>0</v>
      </c>
      <c r="J360" s="45" t="s">
        <v>575</v>
      </c>
      <c r="K360" s="34" t="e">
        <f t="shared" si="49"/>
        <v>#DIV/0!</v>
      </c>
      <c r="L360" s="61"/>
    </row>
    <row r="361" spans="1:12" s="1" customFormat="1" ht="93.6">
      <c r="A361" s="24" t="s">
        <v>461</v>
      </c>
      <c r="B361" s="23" t="s">
        <v>46</v>
      </c>
      <c r="C361" s="33" t="s">
        <v>462</v>
      </c>
      <c r="D361" s="54" t="s">
        <v>26</v>
      </c>
      <c r="E361" s="34">
        <f>E362</f>
        <v>0</v>
      </c>
      <c r="F361" s="34">
        <f>F362</f>
        <v>0</v>
      </c>
      <c r="G361" s="34">
        <f>G362</f>
        <v>0</v>
      </c>
      <c r="H361" s="34">
        <f t="shared" si="47"/>
        <v>0</v>
      </c>
      <c r="I361" s="35" t="e">
        <f t="shared" si="48"/>
        <v>#DIV/0!</v>
      </c>
      <c r="J361" s="34"/>
      <c r="K361" s="34" t="e">
        <f t="shared" si="49"/>
        <v>#DIV/0!</v>
      </c>
      <c r="L361" s="34"/>
    </row>
    <row r="362" spans="1:12" s="2" customFormat="1" ht="124.8">
      <c r="A362" s="24" t="s">
        <v>131</v>
      </c>
      <c r="B362" s="23" t="s">
        <v>46</v>
      </c>
      <c r="C362" s="33" t="s">
        <v>462</v>
      </c>
      <c r="D362" s="54" t="s">
        <v>132</v>
      </c>
      <c r="E362" s="34">
        <v>0</v>
      </c>
      <c r="F362" s="34">
        <f>150000-150000</f>
        <v>0</v>
      </c>
      <c r="G362" s="34">
        <f>150000-150000</f>
        <v>0</v>
      </c>
      <c r="H362" s="34">
        <f t="shared" si="47"/>
        <v>0</v>
      </c>
      <c r="I362" s="35" t="e">
        <f t="shared" si="48"/>
        <v>#DIV/0!</v>
      </c>
      <c r="J362" s="45" t="s">
        <v>575</v>
      </c>
      <c r="K362" s="34" t="e">
        <f t="shared" si="49"/>
        <v>#DIV/0!</v>
      </c>
      <c r="L362" s="31"/>
    </row>
    <row r="363" spans="1:12" s="1" customFormat="1" ht="15.6">
      <c r="A363" s="72" t="s">
        <v>490</v>
      </c>
      <c r="B363" s="33" t="s">
        <v>46</v>
      </c>
      <c r="C363" s="33" t="s">
        <v>175</v>
      </c>
      <c r="D363" s="33" t="s">
        <v>26</v>
      </c>
      <c r="E363" s="34">
        <f t="shared" ref="E363:G365" si="50">E364</f>
        <v>2597240.1</v>
      </c>
      <c r="F363" s="34">
        <f t="shared" si="50"/>
        <v>2141956.7999999998</v>
      </c>
      <c r="G363" s="34">
        <f t="shared" si="50"/>
        <v>2141956.7999999998</v>
      </c>
      <c r="H363" s="34">
        <f t="shared" si="47"/>
        <v>0</v>
      </c>
      <c r="I363" s="35">
        <f t="shared" si="48"/>
        <v>82.47</v>
      </c>
      <c r="J363" s="34"/>
      <c r="K363" s="34">
        <f t="shared" si="49"/>
        <v>100</v>
      </c>
      <c r="L363" s="31"/>
    </row>
    <row r="364" spans="1:12" s="1" customFormat="1" ht="46.8">
      <c r="A364" s="51" t="s">
        <v>317</v>
      </c>
      <c r="B364" s="54" t="s">
        <v>46</v>
      </c>
      <c r="C364" s="100" t="s">
        <v>463</v>
      </c>
      <c r="D364" s="54" t="s">
        <v>26</v>
      </c>
      <c r="E364" s="31">
        <f t="shared" si="50"/>
        <v>2597240.1</v>
      </c>
      <c r="F364" s="31">
        <f t="shared" si="50"/>
        <v>2141956.7999999998</v>
      </c>
      <c r="G364" s="31">
        <f t="shared" si="50"/>
        <v>2141956.7999999998</v>
      </c>
      <c r="H364" s="31">
        <f t="shared" si="47"/>
        <v>0</v>
      </c>
      <c r="I364" s="32">
        <f t="shared" si="48"/>
        <v>82.47</v>
      </c>
      <c r="J364" s="31"/>
      <c r="K364" s="31">
        <f t="shared" si="49"/>
        <v>100</v>
      </c>
      <c r="L364" s="31"/>
    </row>
    <row r="365" spans="1:12" s="1" customFormat="1" ht="78">
      <c r="A365" s="72" t="s">
        <v>282</v>
      </c>
      <c r="B365" s="23" t="s">
        <v>46</v>
      </c>
      <c r="C365" s="64" t="s">
        <v>464</v>
      </c>
      <c r="D365" s="23" t="s">
        <v>26</v>
      </c>
      <c r="E365" s="31">
        <f t="shared" si="50"/>
        <v>2597240.1</v>
      </c>
      <c r="F365" s="31">
        <f t="shared" si="50"/>
        <v>2141956.7999999998</v>
      </c>
      <c r="G365" s="31">
        <f t="shared" si="50"/>
        <v>2141956.7999999998</v>
      </c>
      <c r="H365" s="31">
        <f t="shared" si="47"/>
        <v>0</v>
      </c>
      <c r="I365" s="32">
        <f t="shared" si="48"/>
        <v>82.47</v>
      </c>
      <c r="J365" s="31"/>
      <c r="K365" s="31">
        <f t="shared" si="49"/>
        <v>100</v>
      </c>
      <c r="L365" s="34"/>
    </row>
    <row r="366" spans="1:12" s="1" customFormat="1" ht="124.8">
      <c r="A366" s="24" t="s">
        <v>131</v>
      </c>
      <c r="B366" s="23" t="s">
        <v>46</v>
      </c>
      <c r="C366" s="64" t="s">
        <v>464</v>
      </c>
      <c r="D366" s="23" t="s">
        <v>132</v>
      </c>
      <c r="E366" s="45">
        <f>2597240.1</f>
        <v>2597240.1</v>
      </c>
      <c r="F366" s="45">
        <f>2597240.1-60097.62-395185.68</f>
        <v>2141956.7999999998</v>
      </c>
      <c r="G366" s="45">
        <f>2597240.1-60097.62-395185.68</f>
        <v>2141956.7999999998</v>
      </c>
      <c r="H366" s="45">
        <f t="shared" si="47"/>
        <v>0</v>
      </c>
      <c r="I366" s="57">
        <f t="shared" si="48"/>
        <v>82.47</v>
      </c>
      <c r="J366" s="45" t="s">
        <v>575</v>
      </c>
      <c r="K366" s="45">
        <f t="shared" si="49"/>
        <v>100</v>
      </c>
      <c r="L366" s="34"/>
    </row>
    <row r="367" spans="1:12" s="1" customFormat="1" ht="15.6">
      <c r="A367" s="72" t="s">
        <v>325</v>
      </c>
      <c r="B367" s="33" t="s">
        <v>232</v>
      </c>
      <c r="C367" s="33" t="s">
        <v>147</v>
      </c>
      <c r="D367" s="33" t="s">
        <v>26</v>
      </c>
      <c r="E367" s="34">
        <f t="shared" ref="E367:G371" si="51">E368</f>
        <v>11512930</v>
      </c>
      <c r="F367" s="34">
        <f t="shared" si="51"/>
        <v>10105902.66</v>
      </c>
      <c r="G367" s="34">
        <f t="shared" si="51"/>
        <v>10105902.66</v>
      </c>
      <c r="H367" s="34">
        <f t="shared" si="47"/>
        <v>0</v>
      </c>
      <c r="I367" s="35">
        <f t="shared" si="48"/>
        <v>87.78</v>
      </c>
      <c r="J367" s="34"/>
      <c r="K367" s="34">
        <f t="shared" si="49"/>
        <v>100</v>
      </c>
      <c r="L367" s="29"/>
    </row>
    <row r="368" spans="1:12" s="1" customFormat="1" ht="46.8">
      <c r="A368" s="72" t="s">
        <v>495</v>
      </c>
      <c r="B368" s="33" t="s">
        <v>232</v>
      </c>
      <c r="C368" s="33" t="s">
        <v>0</v>
      </c>
      <c r="D368" s="33" t="s">
        <v>26</v>
      </c>
      <c r="E368" s="34">
        <f t="shared" si="51"/>
        <v>11512930</v>
      </c>
      <c r="F368" s="34">
        <f t="shared" si="51"/>
        <v>10105902.66</v>
      </c>
      <c r="G368" s="34">
        <f t="shared" si="51"/>
        <v>10105902.66</v>
      </c>
      <c r="H368" s="34">
        <f t="shared" si="47"/>
        <v>0</v>
      </c>
      <c r="I368" s="35">
        <f t="shared" si="48"/>
        <v>87.78</v>
      </c>
      <c r="J368" s="34"/>
      <c r="K368" s="34">
        <f t="shared" si="49"/>
        <v>100</v>
      </c>
      <c r="L368" s="29"/>
    </row>
    <row r="369" spans="1:12" s="2" customFormat="1" ht="62.4">
      <c r="A369" s="72" t="s">
        <v>496</v>
      </c>
      <c r="B369" s="33" t="s">
        <v>232</v>
      </c>
      <c r="C369" s="33" t="s">
        <v>1</v>
      </c>
      <c r="D369" s="33" t="s">
        <v>26</v>
      </c>
      <c r="E369" s="34">
        <f t="shared" si="51"/>
        <v>11512930</v>
      </c>
      <c r="F369" s="34">
        <f t="shared" si="51"/>
        <v>10105902.66</v>
      </c>
      <c r="G369" s="34">
        <f t="shared" si="51"/>
        <v>10105902.66</v>
      </c>
      <c r="H369" s="34">
        <f t="shared" si="47"/>
        <v>0</v>
      </c>
      <c r="I369" s="35">
        <f t="shared" si="48"/>
        <v>87.78</v>
      </c>
      <c r="J369" s="34"/>
      <c r="K369" s="34">
        <f t="shared" si="49"/>
        <v>100</v>
      </c>
      <c r="L369" s="31"/>
    </row>
    <row r="370" spans="1:12" s="2" customFormat="1" ht="31.2">
      <c r="A370" s="51" t="s">
        <v>318</v>
      </c>
      <c r="B370" s="33" t="s">
        <v>232</v>
      </c>
      <c r="C370" s="33" t="s">
        <v>287</v>
      </c>
      <c r="D370" s="33" t="s">
        <v>26</v>
      </c>
      <c r="E370" s="34">
        <f t="shared" si="51"/>
        <v>11512930</v>
      </c>
      <c r="F370" s="34">
        <f t="shared" si="51"/>
        <v>10105902.66</v>
      </c>
      <c r="G370" s="34">
        <f t="shared" si="51"/>
        <v>10105902.66</v>
      </c>
      <c r="H370" s="34">
        <f t="shared" si="47"/>
        <v>0</v>
      </c>
      <c r="I370" s="35">
        <f t="shared" si="48"/>
        <v>87.78</v>
      </c>
      <c r="J370" s="34"/>
      <c r="K370" s="34">
        <f t="shared" si="49"/>
        <v>100</v>
      </c>
      <c r="L370" s="31"/>
    </row>
    <row r="371" spans="1:12" s="2" customFormat="1" ht="46.8">
      <c r="A371" s="24" t="s">
        <v>288</v>
      </c>
      <c r="B371" s="55" t="s">
        <v>232</v>
      </c>
      <c r="C371" s="55" t="s">
        <v>241</v>
      </c>
      <c r="D371" s="55" t="s">
        <v>26</v>
      </c>
      <c r="E371" s="34">
        <f t="shared" si="51"/>
        <v>11512930</v>
      </c>
      <c r="F371" s="34">
        <f t="shared" si="51"/>
        <v>10105902.66</v>
      </c>
      <c r="G371" s="34">
        <f t="shared" si="51"/>
        <v>10105902.66</v>
      </c>
      <c r="H371" s="34">
        <f t="shared" si="47"/>
        <v>0</v>
      </c>
      <c r="I371" s="35">
        <f t="shared" si="48"/>
        <v>87.78</v>
      </c>
      <c r="J371" s="34"/>
      <c r="K371" s="34">
        <f t="shared" si="49"/>
        <v>100</v>
      </c>
      <c r="L371" s="31"/>
    </row>
    <row r="372" spans="1:12" s="2" customFormat="1" ht="15.6">
      <c r="A372" s="24" t="s">
        <v>131</v>
      </c>
      <c r="B372" s="55" t="s">
        <v>232</v>
      </c>
      <c r="C372" s="55" t="s">
        <v>241</v>
      </c>
      <c r="D372" s="55" t="s">
        <v>132</v>
      </c>
      <c r="E372" s="34">
        <f>11512930</f>
        <v>11512930</v>
      </c>
      <c r="F372" s="34">
        <f>11512930+80000-1444242+780000-822785.34</f>
        <v>10105902.66</v>
      </c>
      <c r="G372" s="34">
        <f>11512930+80000-1444242+780000-822785.34</f>
        <v>10105902.66</v>
      </c>
      <c r="H372" s="34">
        <f t="shared" si="47"/>
        <v>0</v>
      </c>
      <c r="I372" s="35">
        <f t="shared" si="48"/>
        <v>87.78</v>
      </c>
      <c r="J372" s="34"/>
      <c r="K372" s="34">
        <f t="shared" si="49"/>
        <v>100</v>
      </c>
      <c r="L372" s="31"/>
    </row>
    <row r="373" spans="1:12" s="2" customFormat="1" ht="15.6">
      <c r="A373" s="51" t="s">
        <v>32</v>
      </c>
      <c r="B373" s="23" t="s">
        <v>84</v>
      </c>
      <c r="C373" s="24" t="s">
        <v>147</v>
      </c>
      <c r="D373" s="23" t="s">
        <v>26</v>
      </c>
      <c r="E373" s="31">
        <f>E374</f>
        <v>5668425</v>
      </c>
      <c r="F373" s="31">
        <f t="shared" ref="F373:G373" si="52">F374</f>
        <v>5781975.8600000003</v>
      </c>
      <c r="G373" s="31">
        <f t="shared" si="52"/>
        <v>5781975.8600000003</v>
      </c>
      <c r="H373" s="31">
        <f t="shared" si="47"/>
        <v>0</v>
      </c>
      <c r="I373" s="32">
        <f t="shared" si="48"/>
        <v>102</v>
      </c>
      <c r="J373" s="31"/>
      <c r="K373" s="31">
        <f t="shared" si="49"/>
        <v>100</v>
      </c>
      <c r="L373" s="31"/>
    </row>
    <row r="374" spans="1:12" s="2" customFormat="1" ht="46.8">
      <c r="A374" s="72" t="s">
        <v>495</v>
      </c>
      <c r="B374" s="23" t="s">
        <v>84</v>
      </c>
      <c r="C374" s="33" t="s">
        <v>0</v>
      </c>
      <c r="D374" s="33" t="s">
        <v>26</v>
      </c>
      <c r="E374" s="34">
        <f>E375</f>
        <v>5668425</v>
      </c>
      <c r="F374" s="34">
        <f>F375</f>
        <v>5781975.8600000003</v>
      </c>
      <c r="G374" s="34">
        <f>G375</f>
        <v>5781975.8600000003</v>
      </c>
      <c r="H374" s="34">
        <f t="shared" si="47"/>
        <v>0</v>
      </c>
      <c r="I374" s="35">
        <f t="shared" si="48"/>
        <v>102</v>
      </c>
      <c r="J374" s="34"/>
      <c r="K374" s="34">
        <f t="shared" si="49"/>
        <v>100</v>
      </c>
      <c r="L374" s="34"/>
    </row>
    <row r="375" spans="1:12" s="2" customFormat="1" ht="62.4">
      <c r="A375" s="72" t="s">
        <v>496</v>
      </c>
      <c r="B375" s="23" t="s">
        <v>84</v>
      </c>
      <c r="C375" s="33" t="s">
        <v>1</v>
      </c>
      <c r="D375" s="33" t="s">
        <v>26</v>
      </c>
      <c r="E375" s="34">
        <f>E376+E382</f>
        <v>5668425</v>
      </c>
      <c r="F375" s="34">
        <f t="shared" ref="F375:G375" si="53">F376+F382</f>
        <v>5781975.8600000003</v>
      </c>
      <c r="G375" s="34">
        <f t="shared" si="53"/>
        <v>5781975.8600000003</v>
      </c>
      <c r="H375" s="34">
        <f t="shared" si="47"/>
        <v>0</v>
      </c>
      <c r="I375" s="35">
        <f t="shared" si="48"/>
        <v>102</v>
      </c>
      <c r="J375" s="34"/>
      <c r="K375" s="34">
        <f t="shared" si="49"/>
        <v>100</v>
      </c>
      <c r="L375" s="34"/>
    </row>
    <row r="376" spans="1:12" s="2" customFormat="1" ht="46.8">
      <c r="A376" s="72" t="s">
        <v>320</v>
      </c>
      <c r="B376" s="33" t="s">
        <v>84</v>
      </c>
      <c r="C376" s="33" t="s">
        <v>319</v>
      </c>
      <c r="D376" s="33" t="s">
        <v>26</v>
      </c>
      <c r="E376" s="34">
        <f>E377+E380</f>
        <v>5063425</v>
      </c>
      <c r="F376" s="34">
        <f>F377+F380</f>
        <v>5176975.8600000003</v>
      </c>
      <c r="G376" s="34">
        <f>G377+G380</f>
        <v>5176975.8600000003</v>
      </c>
      <c r="H376" s="34">
        <f t="shared" si="47"/>
        <v>0</v>
      </c>
      <c r="I376" s="35">
        <f t="shared" si="48"/>
        <v>102.24</v>
      </c>
      <c r="J376" s="34"/>
      <c r="K376" s="34">
        <f t="shared" si="49"/>
        <v>100</v>
      </c>
      <c r="L376" s="31"/>
    </row>
    <row r="377" spans="1:12" s="2" customFormat="1" ht="46.8">
      <c r="A377" s="51" t="s">
        <v>270</v>
      </c>
      <c r="B377" s="23" t="s">
        <v>84</v>
      </c>
      <c r="C377" s="23" t="s">
        <v>20</v>
      </c>
      <c r="D377" s="23" t="s">
        <v>26</v>
      </c>
      <c r="E377" s="31">
        <f>E378+E379</f>
        <v>2533925</v>
      </c>
      <c r="F377" s="31">
        <f>F378+F379</f>
        <v>2533925</v>
      </c>
      <c r="G377" s="31">
        <f>G378+G379</f>
        <v>2533925</v>
      </c>
      <c r="H377" s="31">
        <f t="shared" si="47"/>
        <v>0</v>
      </c>
      <c r="I377" s="32">
        <f t="shared" si="48"/>
        <v>100</v>
      </c>
      <c r="J377" s="31"/>
      <c r="K377" s="31">
        <f t="shared" si="49"/>
        <v>100</v>
      </c>
      <c r="L377" s="34"/>
    </row>
    <row r="378" spans="1:12" s="1" customFormat="1" ht="124.8">
      <c r="A378" s="24" t="s">
        <v>129</v>
      </c>
      <c r="B378" s="23" t="s">
        <v>84</v>
      </c>
      <c r="C378" s="23" t="s">
        <v>20</v>
      </c>
      <c r="D378" s="23" t="s">
        <v>130</v>
      </c>
      <c r="E378" s="31">
        <f>150000</f>
        <v>150000</v>
      </c>
      <c r="F378" s="31">
        <f>150000+13849.8+0.8</f>
        <v>163850.6</v>
      </c>
      <c r="G378" s="31">
        <f>150000+13849.8+0.8</f>
        <v>163850.6</v>
      </c>
      <c r="H378" s="31">
        <f t="shared" si="47"/>
        <v>0</v>
      </c>
      <c r="I378" s="32">
        <f t="shared" si="48"/>
        <v>109.23</v>
      </c>
      <c r="J378" s="42" t="s">
        <v>575</v>
      </c>
      <c r="K378" s="31">
        <f t="shared" si="49"/>
        <v>100</v>
      </c>
      <c r="L378" s="34"/>
    </row>
    <row r="379" spans="1:12" s="1" customFormat="1" ht="15.6">
      <c r="A379" s="24" t="s">
        <v>131</v>
      </c>
      <c r="B379" s="23" t="s">
        <v>84</v>
      </c>
      <c r="C379" s="23" t="s">
        <v>20</v>
      </c>
      <c r="D379" s="23" t="s">
        <v>132</v>
      </c>
      <c r="E379" s="45">
        <f>2383925</f>
        <v>2383925</v>
      </c>
      <c r="F379" s="45">
        <f>2383925-13849.8-0.8</f>
        <v>2370074.4</v>
      </c>
      <c r="G379" s="45">
        <f>2383925-13849.8-0.8</f>
        <v>2370074.4</v>
      </c>
      <c r="H379" s="45">
        <f t="shared" si="47"/>
        <v>0</v>
      </c>
      <c r="I379" s="57">
        <f t="shared" si="48"/>
        <v>99.42</v>
      </c>
      <c r="J379" s="45"/>
      <c r="K379" s="45">
        <f t="shared" si="49"/>
        <v>100</v>
      </c>
      <c r="L379" s="34"/>
    </row>
    <row r="380" spans="1:12" s="1" customFormat="1" ht="46.8">
      <c r="A380" s="101" t="s">
        <v>322</v>
      </c>
      <c r="B380" s="23" t="s">
        <v>84</v>
      </c>
      <c r="C380" s="23" t="s">
        <v>321</v>
      </c>
      <c r="D380" s="23" t="s">
        <v>26</v>
      </c>
      <c r="E380" s="34">
        <f>E381</f>
        <v>2529500</v>
      </c>
      <c r="F380" s="34">
        <f>F381</f>
        <v>2643050.86</v>
      </c>
      <c r="G380" s="34">
        <f>G381</f>
        <v>2643050.86</v>
      </c>
      <c r="H380" s="34">
        <f t="shared" si="47"/>
        <v>0</v>
      </c>
      <c r="I380" s="35">
        <f t="shared" si="48"/>
        <v>104.49</v>
      </c>
      <c r="J380" s="34"/>
      <c r="K380" s="34">
        <f t="shared" si="49"/>
        <v>100</v>
      </c>
      <c r="L380" s="34"/>
    </row>
    <row r="381" spans="1:12" s="1" customFormat="1" ht="15.6">
      <c r="A381" s="24" t="s">
        <v>131</v>
      </c>
      <c r="B381" s="23" t="s">
        <v>84</v>
      </c>
      <c r="C381" s="23" t="s">
        <v>321</v>
      </c>
      <c r="D381" s="23" t="s">
        <v>132</v>
      </c>
      <c r="E381" s="34">
        <f>2529500</f>
        <v>2529500</v>
      </c>
      <c r="F381" s="34">
        <f>2529500+300000-186449.14</f>
        <v>2643050.86</v>
      </c>
      <c r="G381" s="34">
        <f>2529500+300000-186449.14</f>
        <v>2643050.86</v>
      </c>
      <c r="H381" s="34">
        <f t="shared" si="47"/>
        <v>0</v>
      </c>
      <c r="I381" s="35">
        <f t="shared" si="48"/>
        <v>104.49</v>
      </c>
      <c r="J381" s="34"/>
      <c r="K381" s="34">
        <f t="shared" si="49"/>
        <v>100</v>
      </c>
      <c r="L381" s="34"/>
    </row>
    <row r="382" spans="1:12" s="2" customFormat="1" ht="62.4">
      <c r="A382" s="72" t="s">
        <v>497</v>
      </c>
      <c r="B382" s="23" t="s">
        <v>84</v>
      </c>
      <c r="C382" s="33" t="s">
        <v>422</v>
      </c>
      <c r="D382" s="33" t="s">
        <v>26</v>
      </c>
      <c r="E382" s="34">
        <f t="shared" ref="E382:G383" si="54">E383</f>
        <v>605000</v>
      </c>
      <c r="F382" s="34">
        <f t="shared" si="54"/>
        <v>605000</v>
      </c>
      <c r="G382" s="34">
        <f t="shared" si="54"/>
        <v>605000</v>
      </c>
      <c r="H382" s="34">
        <f t="shared" si="47"/>
        <v>0</v>
      </c>
      <c r="I382" s="35">
        <f t="shared" si="48"/>
        <v>100</v>
      </c>
      <c r="J382" s="34"/>
      <c r="K382" s="34">
        <f t="shared" si="49"/>
        <v>100</v>
      </c>
      <c r="L382" s="34"/>
    </row>
    <row r="383" spans="1:12" s="2" customFormat="1" ht="15.6">
      <c r="A383" s="24" t="s">
        <v>105</v>
      </c>
      <c r="B383" s="23" t="s">
        <v>84</v>
      </c>
      <c r="C383" s="24" t="s">
        <v>421</v>
      </c>
      <c r="D383" s="23" t="s">
        <v>26</v>
      </c>
      <c r="E383" s="31">
        <f t="shared" si="54"/>
        <v>605000</v>
      </c>
      <c r="F383" s="31">
        <f t="shared" si="54"/>
        <v>605000</v>
      </c>
      <c r="G383" s="31">
        <f t="shared" si="54"/>
        <v>605000</v>
      </c>
      <c r="H383" s="31">
        <f t="shared" si="47"/>
        <v>0</v>
      </c>
      <c r="I383" s="32">
        <f t="shared" si="48"/>
        <v>100</v>
      </c>
      <c r="J383" s="31"/>
      <c r="K383" s="31">
        <f t="shared" si="49"/>
        <v>100</v>
      </c>
      <c r="L383" s="34"/>
    </row>
    <row r="384" spans="1:12" s="2" customFormat="1" ht="31.2">
      <c r="A384" s="36" t="s">
        <v>118</v>
      </c>
      <c r="B384" s="23" t="s">
        <v>84</v>
      </c>
      <c r="C384" s="24" t="s">
        <v>421</v>
      </c>
      <c r="D384" s="23" t="s">
        <v>119</v>
      </c>
      <c r="E384" s="34">
        <v>605000</v>
      </c>
      <c r="F384" s="34">
        <v>605000</v>
      </c>
      <c r="G384" s="34">
        <v>605000</v>
      </c>
      <c r="H384" s="34">
        <f t="shared" si="47"/>
        <v>0</v>
      </c>
      <c r="I384" s="35">
        <f t="shared" si="48"/>
        <v>100</v>
      </c>
      <c r="J384" s="34"/>
      <c r="K384" s="34">
        <f t="shared" si="49"/>
        <v>100</v>
      </c>
      <c r="L384" s="34"/>
    </row>
    <row r="385" spans="1:12" s="1" customFormat="1" ht="15.6">
      <c r="A385" s="23" t="s">
        <v>32</v>
      </c>
      <c r="B385" s="54" t="s">
        <v>47</v>
      </c>
      <c r="C385" s="54" t="s">
        <v>147</v>
      </c>
      <c r="D385" s="54" t="s">
        <v>26</v>
      </c>
      <c r="E385" s="31">
        <f>E387</f>
        <v>39138334.689999998</v>
      </c>
      <c r="F385" s="31">
        <f>F387</f>
        <v>45185520.75</v>
      </c>
      <c r="G385" s="31">
        <f>G387</f>
        <v>45152181.75</v>
      </c>
      <c r="H385" s="31">
        <f t="shared" si="47"/>
        <v>33339</v>
      </c>
      <c r="I385" s="32">
        <f t="shared" si="48"/>
        <v>115.37</v>
      </c>
      <c r="J385" s="31"/>
      <c r="K385" s="31">
        <f t="shared" si="49"/>
        <v>99.93</v>
      </c>
      <c r="L385" s="31"/>
    </row>
    <row r="386" spans="1:12" s="1" customFormat="1" ht="46.8">
      <c r="A386" s="24" t="s">
        <v>495</v>
      </c>
      <c r="B386" s="23" t="s">
        <v>47</v>
      </c>
      <c r="C386" s="23" t="s">
        <v>0</v>
      </c>
      <c r="D386" s="23" t="s">
        <v>26</v>
      </c>
      <c r="E386" s="31">
        <f>E387</f>
        <v>39138334.689999998</v>
      </c>
      <c r="F386" s="31">
        <f>F387</f>
        <v>45185520.75</v>
      </c>
      <c r="G386" s="31">
        <f>G387</f>
        <v>45152181.75</v>
      </c>
      <c r="H386" s="31">
        <f t="shared" si="47"/>
        <v>33339</v>
      </c>
      <c r="I386" s="32">
        <f t="shared" si="48"/>
        <v>115.37</v>
      </c>
      <c r="J386" s="31"/>
      <c r="K386" s="31">
        <f t="shared" si="49"/>
        <v>99.93</v>
      </c>
      <c r="L386" s="31"/>
    </row>
    <row r="387" spans="1:12" s="1" customFormat="1" ht="31.2">
      <c r="A387" s="24" t="s">
        <v>323</v>
      </c>
      <c r="B387" s="23" t="s">
        <v>47</v>
      </c>
      <c r="C387" s="23" t="s">
        <v>21</v>
      </c>
      <c r="D387" s="54" t="s">
        <v>26</v>
      </c>
      <c r="E387" s="31">
        <f>E389</f>
        <v>39138334.689999998</v>
      </c>
      <c r="F387" s="31">
        <f>F389</f>
        <v>45185520.75</v>
      </c>
      <c r="G387" s="31">
        <f>G389</f>
        <v>45152181.75</v>
      </c>
      <c r="H387" s="31">
        <f t="shared" si="47"/>
        <v>33339</v>
      </c>
      <c r="I387" s="32">
        <f t="shared" si="48"/>
        <v>115.37</v>
      </c>
      <c r="J387" s="31"/>
      <c r="K387" s="31">
        <f t="shared" si="49"/>
        <v>99.93</v>
      </c>
      <c r="L387" s="34"/>
    </row>
    <row r="388" spans="1:12" s="1" customFormat="1" ht="62.4">
      <c r="A388" s="51" t="s">
        <v>473</v>
      </c>
      <c r="B388" s="33" t="s">
        <v>47</v>
      </c>
      <c r="C388" s="33" t="s">
        <v>324</v>
      </c>
      <c r="D388" s="33" t="s">
        <v>26</v>
      </c>
      <c r="E388" s="34">
        <f>E389</f>
        <v>39138334.689999998</v>
      </c>
      <c r="F388" s="34">
        <f>F389</f>
        <v>45185520.75</v>
      </c>
      <c r="G388" s="34">
        <f>G389</f>
        <v>45152181.75</v>
      </c>
      <c r="H388" s="34">
        <f t="shared" si="47"/>
        <v>33339</v>
      </c>
      <c r="I388" s="35">
        <f t="shared" si="48"/>
        <v>115.37</v>
      </c>
      <c r="J388" s="34"/>
      <c r="K388" s="34">
        <f t="shared" si="49"/>
        <v>99.93</v>
      </c>
      <c r="L388" s="34"/>
    </row>
    <row r="389" spans="1:12" s="1" customFormat="1" ht="46.8">
      <c r="A389" s="24" t="s">
        <v>112</v>
      </c>
      <c r="B389" s="23" t="s">
        <v>47</v>
      </c>
      <c r="C389" s="23" t="s">
        <v>22</v>
      </c>
      <c r="D389" s="54" t="s">
        <v>26</v>
      </c>
      <c r="E389" s="31">
        <f>E390+E391+E392+E393+E394+E395</f>
        <v>39138334.689999998</v>
      </c>
      <c r="F389" s="31">
        <f>F390+F391+F392+F393+F394+F395</f>
        <v>45185520.75</v>
      </c>
      <c r="G389" s="31">
        <f>G390+G391+G392+G393+G394+G395</f>
        <v>45152181.75</v>
      </c>
      <c r="H389" s="31">
        <f t="shared" si="47"/>
        <v>33339</v>
      </c>
      <c r="I389" s="32">
        <f t="shared" si="48"/>
        <v>115.37</v>
      </c>
      <c r="J389" s="31"/>
      <c r="K389" s="31">
        <f t="shared" si="49"/>
        <v>99.93</v>
      </c>
      <c r="L389" s="34"/>
    </row>
    <row r="390" spans="1:12" s="1" customFormat="1" ht="15.6">
      <c r="A390" s="36" t="s">
        <v>133</v>
      </c>
      <c r="B390" s="23" t="s">
        <v>47</v>
      </c>
      <c r="C390" s="23" t="s">
        <v>22</v>
      </c>
      <c r="D390" s="54" t="s">
        <v>134</v>
      </c>
      <c r="E390" s="34">
        <f>34225042.69</f>
        <v>34225042.689999998</v>
      </c>
      <c r="F390" s="34">
        <f>34225042.69+5733751.12-46062.23</f>
        <v>39912731.579999998</v>
      </c>
      <c r="G390" s="34">
        <v>39879392.579999998</v>
      </c>
      <c r="H390" s="34">
        <f t="shared" si="47"/>
        <v>33339</v>
      </c>
      <c r="I390" s="35">
        <f t="shared" si="48"/>
        <v>116.52</v>
      </c>
      <c r="J390" s="34"/>
      <c r="K390" s="34">
        <f t="shared" si="49"/>
        <v>99.92</v>
      </c>
      <c r="L390" s="34"/>
    </row>
    <row r="391" spans="1:12" s="1" customFormat="1" ht="31.2">
      <c r="A391" s="36" t="s">
        <v>118</v>
      </c>
      <c r="B391" s="23" t="s">
        <v>47</v>
      </c>
      <c r="C391" s="23" t="s">
        <v>22</v>
      </c>
      <c r="D391" s="54" t="s">
        <v>119</v>
      </c>
      <c r="E391" s="34">
        <f>4345092</f>
        <v>4345092</v>
      </c>
      <c r="F391" s="34">
        <f>4345092+349266+470000-53335.73</f>
        <v>5111022.2699999996</v>
      </c>
      <c r="G391" s="34">
        <f>4345092+349266+470000-53335.73</f>
        <v>5111022.2699999996</v>
      </c>
      <c r="H391" s="34">
        <f t="shared" si="47"/>
        <v>0</v>
      </c>
      <c r="I391" s="35">
        <f t="shared" si="48"/>
        <v>117.63</v>
      </c>
      <c r="J391" s="34"/>
      <c r="K391" s="34">
        <f t="shared" si="49"/>
        <v>100</v>
      </c>
      <c r="L391" s="31"/>
    </row>
    <row r="392" spans="1:12" s="1" customFormat="1" ht="124.8">
      <c r="A392" s="36" t="s">
        <v>129</v>
      </c>
      <c r="B392" s="23" t="s">
        <v>47</v>
      </c>
      <c r="C392" s="23" t="s">
        <v>22</v>
      </c>
      <c r="D392" s="54" t="s">
        <v>130</v>
      </c>
      <c r="E392" s="73">
        <f>470000</f>
        <v>470000</v>
      </c>
      <c r="F392" s="73">
        <f>470000-470000</f>
        <v>0</v>
      </c>
      <c r="G392" s="73">
        <f>470000-470000</f>
        <v>0</v>
      </c>
      <c r="H392" s="73">
        <f t="shared" si="47"/>
        <v>0</v>
      </c>
      <c r="I392" s="74">
        <f t="shared" si="48"/>
        <v>0</v>
      </c>
      <c r="J392" s="34"/>
      <c r="K392" s="34" t="e">
        <f t="shared" si="49"/>
        <v>#DIV/0!</v>
      </c>
      <c r="L392" s="45" t="s">
        <v>575</v>
      </c>
    </row>
    <row r="393" spans="1:12" s="1" customFormat="1" ht="15.6">
      <c r="A393" s="24" t="s">
        <v>187</v>
      </c>
      <c r="B393" s="23" t="s">
        <v>47</v>
      </c>
      <c r="C393" s="23" t="s">
        <v>22</v>
      </c>
      <c r="D393" s="54" t="s">
        <v>188</v>
      </c>
      <c r="E393" s="34">
        <f>80000</f>
        <v>80000</v>
      </c>
      <c r="F393" s="34">
        <f>80000-5000</f>
        <v>75000</v>
      </c>
      <c r="G393" s="34">
        <f>80000-5000</f>
        <v>75000</v>
      </c>
      <c r="H393" s="34">
        <f t="shared" ref="H393:H456" si="55">$F393-$G393</f>
        <v>0</v>
      </c>
      <c r="I393" s="35">
        <f t="shared" ref="I393:I456" si="56">$G393/$E393*100</f>
        <v>93.75</v>
      </c>
      <c r="J393" s="34"/>
      <c r="K393" s="34">
        <f t="shared" ref="K393:K456" si="57">$G393/$F393*100</f>
        <v>100</v>
      </c>
      <c r="L393" s="31"/>
    </row>
    <row r="394" spans="1:12" s="1" customFormat="1" ht="124.8">
      <c r="A394" s="64" t="s">
        <v>184</v>
      </c>
      <c r="B394" s="23" t="s">
        <v>47</v>
      </c>
      <c r="C394" s="23" t="s">
        <v>22</v>
      </c>
      <c r="D394" s="54" t="s">
        <v>124</v>
      </c>
      <c r="E394" s="34">
        <v>0</v>
      </c>
      <c r="F394" s="34">
        <v>0</v>
      </c>
      <c r="G394" s="34">
        <v>0</v>
      </c>
      <c r="H394" s="34">
        <f t="shared" si="55"/>
        <v>0</v>
      </c>
      <c r="I394" s="35" t="e">
        <f t="shared" si="56"/>
        <v>#DIV/0!</v>
      </c>
      <c r="J394" s="34"/>
      <c r="K394" s="34" t="e">
        <f t="shared" si="57"/>
        <v>#DIV/0!</v>
      </c>
      <c r="L394" s="42" t="s">
        <v>575</v>
      </c>
    </row>
    <row r="395" spans="1:12" s="1" customFormat="1" ht="15.6">
      <c r="A395" s="102" t="s">
        <v>122</v>
      </c>
      <c r="B395" s="23" t="s">
        <v>47</v>
      </c>
      <c r="C395" s="23" t="s">
        <v>22</v>
      </c>
      <c r="D395" s="54" t="s">
        <v>135</v>
      </c>
      <c r="E395" s="34">
        <f>18200</f>
        <v>18200</v>
      </c>
      <c r="F395" s="34">
        <f>18200+50960.17+18508.73-620-282</f>
        <v>86766.9</v>
      </c>
      <c r="G395" s="34">
        <f>18200+50960.17+18508.73-620-282</f>
        <v>86766.9</v>
      </c>
      <c r="H395" s="34">
        <f t="shared" si="55"/>
        <v>0</v>
      </c>
      <c r="I395" s="35">
        <f t="shared" si="56"/>
        <v>476.74</v>
      </c>
      <c r="J395" s="34"/>
      <c r="K395" s="34">
        <f t="shared" si="57"/>
        <v>100</v>
      </c>
      <c r="L395" s="34"/>
    </row>
    <row r="396" spans="1:12" s="1" customFormat="1" ht="15.6">
      <c r="A396" s="65" t="s">
        <v>68</v>
      </c>
      <c r="B396" s="103" t="s">
        <v>50</v>
      </c>
      <c r="C396" s="103" t="s">
        <v>147</v>
      </c>
      <c r="D396" s="103" t="s">
        <v>26</v>
      </c>
      <c r="E396" s="29">
        <f>E397+E435</f>
        <v>88275862.560000002</v>
      </c>
      <c r="F396" s="29">
        <f>F397+F435</f>
        <v>110127697.64</v>
      </c>
      <c r="G396" s="29">
        <f>G397+G435</f>
        <v>109733987.08</v>
      </c>
      <c r="H396" s="29">
        <f t="shared" si="55"/>
        <v>393710.56</v>
      </c>
      <c r="I396" s="30">
        <f t="shared" si="56"/>
        <v>124.31</v>
      </c>
      <c r="J396" s="29"/>
      <c r="K396" s="29">
        <f t="shared" si="57"/>
        <v>99.64</v>
      </c>
      <c r="L396" s="34"/>
    </row>
    <row r="397" spans="1:12" s="1" customFormat="1" ht="15.6">
      <c r="A397" s="104" t="s">
        <v>40</v>
      </c>
      <c r="B397" s="54" t="s">
        <v>38</v>
      </c>
      <c r="C397" s="54" t="s">
        <v>147</v>
      </c>
      <c r="D397" s="54" t="s">
        <v>26</v>
      </c>
      <c r="E397" s="31">
        <f>E398</f>
        <v>73263825.549999997</v>
      </c>
      <c r="F397" s="31">
        <f>F398</f>
        <v>92845605.379999995</v>
      </c>
      <c r="G397" s="31">
        <f>G398</f>
        <v>92492194.700000003</v>
      </c>
      <c r="H397" s="31">
        <f t="shared" si="55"/>
        <v>353410.68</v>
      </c>
      <c r="I397" s="32">
        <f t="shared" si="56"/>
        <v>126.25</v>
      </c>
      <c r="J397" s="31"/>
      <c r="K397" s="31">
        <f t="shared" si="57"/>
        <v>99.62</v>
      </c>
      <c r="L397" s="34"/>
    </row>
    <row r="398" spans="1:12" s="1" customFormat="1" ht="46.8">
      <c r="A398" s="51" t="s">
        <v>333</v>
      </c>
      <c r="B398" s="54" t="s">
        <v>38</v>
      </c>
      <c r="C398" s="54" t="s">
        <v>10</v>
      </c>
      <c r="D398" s="54" t="s">
        <v>26</v>
      </c>
      <c r="E398" s="31">
        <f>E399+E408+E416</f>
        <v>73263825.549999997</v>
      </c>
      <c r="F398" s="31">
        <f>F399+F408+F416</f>
        <v>92845605.379999995</v>
      </c>
      <c r="G398" s="31">
        <f>G399+G408+G416</f>
        <v>92492194.700000003</v>
      </c>
      <c r="H398" s="31">
        <f t="shared" si="55"/>
        <v>353410.68</v>
      </c>
      <c r="I398" s="32">
        <f t="shared" si="56"/>
        <v>126.25</v>
      </c>
      <c r="J398" s="31"/>
      <c r="K398" s="31">
        <f t="shared" si="57"/>
        <v>99.62</v>
      </c>
      <c r="L398" s="34"/>
    </row>
    <row r="399" spans="1:12" s="1" customFormat="1" ht="46.8">
      <c r="A399" s="51" t="s">
        <v>334</v>
      </c>
      <c r="B399" s="23" t="s">
        <v>38</v>
      </c>
      <c r="C399" s="23" t="s">
        <v>11</v>
      </c>
      <c r="D399" s="23" t="s">
        <v>26</v>
      </c>
      <c r="E399" s="31">
        <f t="shared" ref="E399:G400" si="58">E401+E406</f>
        <v>56738838.18</v>
      </c>
      <c r="F399" s="31">
        <f t="shared" si="58"/>
        <v>57802374.810000002</v>
      </c>
      <c r="G399" s="31">
        <f t="shared" si="58"/>
        <v>57551770.560000002</v>
      </c>
      <c r="H399" s="31">
        <f t="shared" si="55"/>
        <v>250604.25</v>
      </c>
      <c r="I399" s="32">
        <f t="shared" si="56"/>
        <v>101.43</v>
      </c>
      <c r="J399" s="31"/>
      <c r="K399" s="31">
        <f t="shared" si="57"/>
        <v>99.57</v>
      </c>
      <c r="L399" s="34"/>
    </row>
    <row r="400" spans="1:12" s="1" customFormat="1" ht="62.4">
      <c r="A400" s="51" t="s">
        <v>485</v>
      </c>
      <c r="B400" s="23" t="s">
        <v>38</v>
      </c>
      <c r="C400" s="23" t="s">
        <v>335</v>
      </c>
      <c r="D400" s="23" t="s">
        <v>26</v>
      </c>
      <c r="E400" s="31">
        <f t="shared" si="58"/>
        <v>44856900</v>
      </c>
      <c r="F400" s="31">
        <f t="shared" si="58"/>
        <v>43929430.270000003</v>
      </c>
      <c r="G400" s="31">
        <f t="shared" si="58"/>
        <v>43929430.270000003</v>
      </c>
      <c r="H400" s="31">
        <f t="shared" si="55"/>
        <v>0</v>
      </c>
      <c r="I400" s="32">
        <f t="shared" si="56"/>
        <v>97.93</v>
      </c>
      <c r="J400" s="31"/>
      <c r="K400" s="31">
        <f t="shared" si="57"/>
        <v>100</v>
      </c>
      <c r="L400" s="34"/>
    </row>
    <row r="401" spans="1:14" s="1" customFormat="1" ht="46.8">
      <c r="A401" s="24" t="s">
        <v>112</v>
      </c>
      <c r="B401" s="23" t="s">
        <v>38</v>
      </c>
      <c r="C401" s="23" t="s">
        <v>12</v>
      </c>
      <c r="D401" s="23" t="s">
        <v>26</v>
      </c>
      <c r="E401" s="31">
        <f>E402+E403+E404+E405</f>
        <v>56338838.18</v>
      </c>
      <c r="F401" s="31">
        <f>F402+F403+F404+F405</f>
        <v>56252205.810000002</v>
      </c>
      <c r="G401" s="31">
        <f>G402+G403+G404+G405</f>
        <v>56001601.560000002</v>
      </c>
      <c r="H401" s="31">
        <f t="shared" si="55"/>
        <v>250604.25</v>
      </c>
      <c r="I401" s="32">
        <f t="shared" si="56"/>
        <v>99.4</v>
      </c>
      <c r="J401" s="31"/>
      <c r="K401" s="31">
        <f t="shared" si="57"/>
        <v>99.55</v>
      </c>
      <c r="L401" s="34"/>
    </row>
    <row r="402" spans="1:14" s="1" customFormat="1" ht="15.6">
      <c r="A402" s="36" t="s">
        <v>133</v>
      </c>
      <c r="B402" s="23" t="s">
        <v>38</v>
      </c>
      <c r="C402" s="23" t="s">
        <v>12</v>
      </c>
      <c r="D402" s="23" t="s">
        <v>134</v>
      </c>
      <c r="E402" s="34">
        <f>44456900</f>
        <v>44456900</v>
      </c>
      <c r="F402" s="34">
        <f>44456900-800000-130000-620000-1100000+572361.27</f>
        <v>42379261.270000003</v>
      </c>
      <c r="G402" s="34">
        <f>44456900-800000-130000-620000-1100000+572361.27</f>
        <v>42379261.270000003</v>
      </c>
      <c r="H402" s="34">
        <f t="shared" si="55"/>
        <v>0</v>
      </c>
      <c r="I402" s="35">
        <f t="shared" si="56"/>
        <v>95.33</v>
      </c>
      <c r="J402" s="34"/>
      <c r="K402" s="34">
        <f t="shared" si="57"/>
        <v>100</v>
      </c>
      <c r="L402" s="34"/>
    </row>
    <row r="403" spans="1:14" s="1" customFormat="1" ht="31.2">
      <c r="A403" s="102" t="s">
        <v>118</v>
      </c>
      <c r="B403" s="23" t="s">
        <v>38</v>
      </c>
      <c r="C403" s="23" t="s">
        <v>12</v>
      </c>
      <c r="D403" s="23" t="s">
        <v>119</v>
      </c>
      <c r="E403" s="34">
        <f>10061938.18</f>
        <v>10061938.18</v>
      </c>
      <c r="F403" s="34">
        <f>10061938.18+1727500-1549145.66+833502.56+500000+1359000-554132.39+1180000+291519.58-833502.56-900000</f>
        <v>12116679.710000001</v>
      </c>
      <c r="G403" s="34">
        <v>11872255.689999999</v>
      </c>
      <c r="H403" s="34">
        <f t="shared" si="55"/>
        <v>244424.02</v>
      </c>
      <c r="I403" s="35">
        <f t="shared" si="56"/>
        <v>117.99</v>
      </c>
      <c r="J403" s="34"/>
      <c r="K403" s="34">
        <f t="shared" si="57"/>
        <v>97.98</v>
      </c>
      <c r="L403" s="34"/>
    </row>
    <row r="404" spans="1:14" s="1" customFormat="1" ht="15.6">
      <c r="A404" s="24" t="s">
        <v>187</v>
      </c>
      <c r="B404" s="23" t="s">
        <v>38</v>
      </c>
      <c r="C404" s="23" t="s">
        <v>12</v>
      </c>
      <c r="D404" s="23" t="s">
        <v>188</v>
      </c>
      <c r="E404" s="34">
        <f>60000</f>
        <v>60000</v>
      </c>
      <c r="F404" s="34">
        <f>60000-60000</f>
        <v>0</v>
      </c>
      <c r="G404" s="34">
        <f>60000-60000</f>
        <v>0</v>
      </c>
      <c r="H404" s="34">
        <f t="shared" si="55"/>
        <v>0</v>
      </c>
      <c r="I404" s="35">
        <f t="shared" si="56"/>
        <v>0</v>
      </c>
      <c r="J404" s="34"/>
      <c r="K404" s="34" t="e">
        <f t="shared" si="57"/>
        <v>#DIV/0!</v>
      </c>
      <c r="L404" s="31"/>
    </row>
    <row r="405" spans="1:14" s="1" customFormat="1" ht="15.6">
      <c r="A405" s="36" t="s">
        <v>122</v>
      </c>
      <c r="B405" s="23" t="s">
        <v>38</v>
      </c>
      <c r="C405" s="23" t="s">
        <v>12</v>
      </c>
      <c r="D405" s="23" t="s">
        <v>135</v>
      </c>
      <c r="E405" s="34">
        <f>1760000</f>
        <v>1760000</v>
      </c>
      <c r="F405" s="34">
        <f>1760000-500-2418.17-817</f>
        <v>1756264.83</v>
      </c>
      <c r="G405" s="34">
        <v>1750084.6</v>
      </c>
      <c r="H405" s="34">
        <f t="shared" si="55"/>
        <v>6180.23</v>
      </c>
      <c r="I405" s="35">
        <f t="shared" si="56"/>
        <v>99.44</v>
      </c>
      <c r="J405" s="34"/>
      <c r="K405" s="34">
        <f t="shared" si="57"/>
        <v>99.65</v>
      </c>
      <c r="L405" s="31"/>
    </row>
    <row r="406" spans="1:14" s="1" customFormat="1" ht="46.8">
      <c r="A406" s="24" t="s">
        <v>117</v>
      </c>
      <c r="B406" s="23" t="s">
        <v>38</v>
      </c>
      <c r="C406" s="23" t="s">
        <v>13</v>
      </c>
      <c r="D406" s="23" t="s">
        <v>26</v>
      </c>
      <c r="E406" s="34">
        <f>E407</f>
        <v>400000</v>
      </c>
      <c r="F406" s="34">
        <f>F407</f>
        <v>1550169</v>
      </c>
      <c r="G406" s="34">
        <f>G407</f>
        <v>1550169</v>
      </c>
      <c r="H406" s="34">
        <f t="shared" si="55"/>
        <v>0</v>
      </c>
      <c r="I406" s="35">
        <f t="shared" si="56"/>
        <v>387.54</v>
      </c>
      <c r="J406" s="34"/>
      <c r="K406" s="34">
        <f t="shared" si="57"/>
        <v>100</v>
      </c>
      <c r="L406" s="31"/>
    </row>
    <row r="407" spans="1:14" s="1" customFormat="1" ht="31.2">
      <c r="A407" s="36" t="s">
        <v>118</v>
      </c>
      <c r="B407" s="23" t="s">
        <v>38</v>
      </c>
      <c r="C407" s="23" t="s">
        <v>13</v>
      </c>
      <c r="D407" s="23" t="s">
        <v>119</v>
      </c>
      <c r="E407" s="34">
        <f>400000</f>
        <v>400000</v>
      </c>
      <c r="F407" s="34">
        <f>400000+1547000-201048.59-197000+1217.59</f>
        <v>1550169</v>
      </c>
      <c r="G407" s="34">
        <f>400000+1547000-201048.59-197000+1217.59</f>
        <v>1550169</v>
      </c>
      <c r="H407" s="34">
        <f t="shared" si="55"/>
        <v>0</v>
      </c>
      <c r="I407" s="35">
        <f t="shared" si="56"/>
        <v>387.54</v>
      </c>
      <c r="J407" s="34"/>
      <c r="K407" s="34">
        <f t="shared" si="57"/>
        <v>100</v>
      </c>
      <c r="L407" s="31"/>
    </row>
    <row r="408" spans="1:14" s="1" customFormat="1" ht="78">
      <c r="A408" s="24" t="s">
        <v>472</v>
      </c>
      <c r="B408" s="23" t="s">
        <v>38</v>
      </c>
      <c r="C408" s="23" t="s">
        <v>14</v>
      </c>
      <c r="D408" s="23" t="s">
        <v>26</v>
      </c>
      <c r="E408" s="37">
        <f>E410+E414</f>
        <v>14265280</v>
      </c>
      <c r="F408" s="37">
        <f>F410+F414</f>
        <v>13800224.869999999</v>
      </c>
      <c r="G408" s="37">
        <f>G410+G414</f>
        <v>13697418.82</v>
      </c>
      <c r="H408" s="37">
        <f t="shared" si="55"/>
        <v>102806.05</v>
      </c>
      <c r="I408" s="39">
        <f t="shared" si="56"/>
        <v>96.02</v>
      </c>
      <c r="J408" s="37"/>
      <c r="K408" s="37">
        <f t="shared" si="57"/>
        <v>99.26</v>
      </c>
      <c r="L408" s="31"/>
    </row>
    <row r="409" spans="1:14" s="1" customFormat="1" ht="62.4">
      <c r="A409" s="51" t="s">
        <v>485</v>
      </c>
      <c r="B409" s="23" t="s">
        <v>38</v>
      </c>
      <c r="C409" s="23" t="s">
        <v>336</v>
      </c>
      <c r="D409" s="23" t="s">
        <v>26</v>
      </c>
      <c r="E409" s="31">
        <f>E410+E414</f>
        <v>14265280</v>
      </c>
      <c r="F409" s="31">
        <f>F410+F414</f>
        <v>13800224.869999999</v>
      </c>
      <c r="G409" s="31">
        <f>G410+G414</f>
        <v>13697418.82</v>
      </c>
      <c r="H409" s="31">
        <f t="shared" si="55"/>
        <v>102806.05</v>
      </c>
      <c r="I409" s="32">
        <f t="shared" si="56"/>
        <v>96.02</v>
      </c>
      <c r="J409" s="31"/>
      <c r="K409" s="31">
        <f t="shared" si="57"/>
        <v>99.26</v>
      </c>
      <c r="L409" s="34"/>
    </row>
    <row r="410" spans="1:14" s="1" customFormat="1" ht="46.8">
      <c r="A410" s="24" t="s">
        <v>112</v>
      </c>
      <c r="B410" s="23" t="s">
        <v>38</v>
      </c>
      <c r="C410" s="54" t="s">
        <v>15</v>
      </c>
      <c r="D410" s="23" t="s">
        <v>26</v>
      </c>
      <c r="E410" s="31">
        <f>E411+E412+E413</f>
        <v>14092080</v>
      </c>
      <c r="F410" s="31">
        <f>F411+F412+F413</f>
        <v>13416726.869999999</v>
      </c>
      <c r="G410" s="31">
        <f>G411+G412+G413</f>
        <v>13313920.82</v>
      </c>
      <c r="H410" s="31">
        <f t="shared" si="55"/>
        <v>102806.05</v>
      </c>
      <c r="I410" s="32">
        <f t="shared" si="56"/>
        <v>94.48</v>
      </c>
      <c r="J410" s="31"/>
      <c r="K410" s="31">
        <f t="shared" si="57"/>
        <v>99.23</v>
      </c>
      <c r="L410" s="34"/>
      <c r="M410" s="1" t="s">
        <v>584</v>
      </c>
    </row>
    <row r="411" spans="1:14" s="1" customFormat="1" ht="15.6">
      <c r="A411" s="36" t="s">
        <v>133</v>
      </c>
      <c r="B411" s="23" t="s">
        <v>38</v>
      </c>
      <c r="C411" s="23" t="s">
        <v>15</v>
      </c>
      <c r="D411" s="23" t="s">
        <v>134</v>
      </c>
      <c r="E411" s="34">
        <f>10577200</f>
        <v>10577200</v>
      </c>
      <c r="F411" s="34">
        <f>10577200-50000-40000-140000-22964.81+70000</f>
        <v>10394235.189999999</v>
      </c>
      <c r="G411" s="34">
        <f>10577200-50000-40000-140000-22964.81+70000</f>
        <v>10394235.189999999</v>
      </c>
      <c r="H411" s="34">
        <f t="shared" si="55"/>
        <v>0</v>
      </c>
      <c r="I411" s="35">
        <f t="shared" si="56"/>
        <v>98.27</v>
      </c>
      <c r="J411" s="34"/>
      <c r="K411" s="34">
        <f t="shared" si="57"/>
        <v>100</v>
      </c>
      <c r="L411" s="34"/>
    </row>
    <row r="412" spans="1:14" s="1" customFormat="1" ht="31.2">
      <c r="A412" s="36" t="s">
        <v>118</v>
      </c>
      <c r="B412" s="23" t="s">
        <v>38</v>
      </c>
      <c r="C412" s="23" t="s">
        <v>15</v>
      </c>
      <c r="D412" s="23" t="s">
        <v>119</v>
      </c>
      <c r="E412" s="34">
        <f>3514880</f>
        <v>3514880</v>
      </c>
      <c r="F412" s="34">
        <f>3514880+128500-589172.54-120000-146336.17+184000-99400+150000</f>
        <v>3022471.29</v>
      </c>
      <c r="G412" s="34">
        <v>2919665.24</v>
      </c>
      <c r="H412" s="34">
        <f t="shared" si="55"/>
        <v>102806.05</v>
      </c>
      <c r="I412" s="35">
        <f t="shared" si="56"/>
        <v>83.07</v>
      </c>
      <c r="J412" s="34"/>
      <c r="K412" s="34">
        <f t="shared" si="57"/>
        <v>96.6</v>
      </c>
      <c r="L412" s="34"/>
    </row>
    <row r="413" spans="1:14" s="1" customFormat="1" ht="15.6">
      <c r="A413" s="36" t="s">
        <v>122</v>
      </c>
      <c r="B413" s="23" t="s">
        <v>38</v>
      </c>
      <c r="C413" s="23" t="s">
        <v>15</v>
      </c>
      <c r="D413" s="23" t="s">
        <v>135</v>
      </c>
      <c r="E413" s="34">
        <v>0</v>
      </c>
      <c r="F413" s="34">
        <f>500-479.61</f>
        <v>20.39</v>
      </c>
      <c r="G413" s="34">
        <f>500-479.61</f>
        <v>20.39</v>
      </c>
      <c r="H413" s="34">
        <f t="shared" si="55"/>
        <v>0</v>
      </c>
      <c r="I413" s="35" t="e">
        <f t="shared" si="56"/>
        <v>#DIV/0!</v>
      </c>
      <c r="J413" s="34"/>
      <c r="K413" s="34">
        <f t="shared" si="57"/>
        <v>100</v>
      </c>
      <c r="L413" s="34"/>
    </row>
    <row r="414" spans="1:14" s="1" customFormat="1" ht="46.8">
      <c r="A414" s="24" t="s">
        <v>117</v>
      </c>
      <c r="B414" s="23" t="s">
        <v>38</v>
      </c>
      <c r="C414" s="23" t="s">
        <v>16</v>
      </c>
      <c r="D414" s="23" t="s">
        <v>26</v>
      </c>
      <c r="E414" s="34">
        <f>E415</f>
        <v>173200</v>
      </c>
      <c r="F414" s="34">
        <f>F415</f>
        <v>383498</v>
      </c>
      <c r="G414" s="34">
        <f>G415</f>
        <v>383498</v>
      </c>
      <c r="H414" s="34">
        <f t="shared" si="55"/>
        <v>0</v>
      </c>
      <c r="I414" s="35">
        <f t="shared" si="56"/>
        <v>221.42</v>
      </c>
      <c r="J414" s="34"/>
      <c r="K414" s="34">
        <f t="shared" si="57"/>
        <v>100</v>
      </c>
      <c r="L414" s="31"/>
      <c r="M414" s="105">
        <f>G418+G422+G422+G424+G426+G431</f>
        <v>21134059.390000001</v>
      </c>
      <c r="N414" s="105">
        <f>G420+G424+G433</f>
        <v>103749.9</v>
      </c>
    </row>
    <row r="415" spans="1:14" s="1" customFormat="1" ht="31.2">
      <c r="A415" s="36" t="s">
        <v>118</v>
      </c>
      <c r="B415" s="23" t="s">
        <v>38</v>
      </c>
      <c r="C415" s="23" t="s">
        <v>16</v>
      </c>
      <c r="D415" s="23" t="s">
        <v>119</v>
      </c>
      <c r="E415" s="34">
        <f>173200</f>
        <v>173200</v>
      </c>
      <c r="F415" s="34">
        <f>173200+295400+385000-470102</f>
        <v>383498</v>
      </c>
      <c r="G415" s="34">
        <f>173200+295400+385000-470102</f>
        <v>383498</v>
      </c>
      <c r="H415" s="34">
        <f t="shared" si="55"/>
        <v>0</v>
      </c>
      <c r="I415" s="35">
        <f t="shared" si="56"/>
        <v>221.42</v>
      </c>
      <c r="J415" s="34"/>
      <c r="K415" s="34">
        <f t="shared" si="57"/>
        <v>100</v>
      </c>
      <c r="L415" s="31"/>
    </row>
    <row r="416" spans="1:14" s="1" customFormat="1" ht="31.2">
      <c r="A416" s="50" t="s">
        <v>338</v>
      </c>
      <c r="B416" s="23" t="s">
        <v>38</v>
      </c>
      <c r="C416" s="23" t="s">
        <v>174</v>
      </c>
      <c r="D416" s="23" t="s">
        <v>26</v>
      </c>
      <c r="E416" s="31">
        <f>E417+E430</f>
        <v>2259707.37</v>
      </c>
      <c r="F416" s="31">
        <f>F417+F430</f>
        <v>21243005.699999999</v>
      </c>
      <c r="G416" s="31">
        <f>G417+G430</f>
        <v>21243005.32</v>
      </c>
      <c r="H416" s="31">
        <f t="shared" si="55"/>
        <v>0.38</v>
      </c>
      <c r="I416" s="32">
        <f t="shared" si="56"/>
        <v>940.08</v>
      </c>
      <c r="J416" s="31"/>
      <c r="K416" s="31">
        <f t="shared" si="57"/>
        <v>100</v>
      </c>
      <c r="L416" s="31"/>
    </row>
    <row r="417" spans="1:12" s="1" customFormat="1" ht="46.8">
      <c r="A417" s="50" t="s">
        <v>339</v>
      </c>
      <c r="B417" s="23" t="s">
        <v>38</v>
      </c>
      <c r="C417" s="23" t="s">
        <v>337</v>
      </c>
      <c r="D417" s="23" t="s">
        <v>26</v>
      </c>
      <c r="E417" s="31">
        <f>E418+E420+E422+E424+E426+E428</f>
        <v>2259707.37</v>
      </c>
      <c r="F417" s="31">
        <f>F418+F420+F422+F424+F426+F428</f>
        <v>2161710</v>
      </c>
      <c r="G417" s="31">
        <f>G418+G420+G422+G424+G426+G428</f>
        <v>2161709.62</v>
      </c>
      <c r="H417" s="31">
        <f t="shared" si="55"/>
        <v>0.38</v>
      </c>
      <c r="I417" s="32">
        <f t="shared" si="56"/>
        <v>95.66</v>
      </c>
      <c r="J417" s="31"/>
      <c r="K417" s="31">
        <f t="shared" si="57"/>
        <v>100</v>
      </c>
      <c r="L417" s="31"/>
    </row>
    <row r="418" spans="1:12" s="1" customFormat="1" ht="62.4">
      <c r="A418" s="50" t="s">
        <v>245</v>
      </c>
      <c r="B418" s="23" t="s">
        <v>38</v>
      </c>
      <c r="C418" s="53" t="s">
        <v>190</v>
      </c>
      <c r="D418" s="23" t="s">
        <v>26</v>
      </c>
      <c r="E418" s="34">
        <f>E419</f>
        <v>1978717</v>
      </c>
      <c r="F418" s="34">
        <f>F419</f>
        <v>1978717</v>
      </c>
      <c r="G418" s="34">
        <f>G419</f>
        <v>1978716.62</v>
      </c>
      <c r="H418" s="34">
        <f t="shared" si="55"/>
        <v>0.38</v>
      </c>
      <c r="I418" s="35">
        <f t="shared" si="56"/>
        <v>100</v>
      </c>
      <c r="J418" s="34"/>
      <c r="K418" s="34">
        <f t="shared" si="57"/>
        <v>100</v>
      </c>
      <c r="L418" s="31"/>
    </row>
    <row r="419" spans="1:12" s="1" customFormat="1" ht="31.2">
      <c r="A419" s="36" t="s">
        <v>118</v>
      </c>
      <c r="B419" s="23" t="s">
        <v>38</v>
      </c>
      <c r="C419" s="53" t="s">
        <v>190</v>
      </c>
      <c r="D419" s="23" t="s">
        <v>119</v>
      </c>
      <c r="E419" s="34">
        <v>1978717</v>
      </c>
      <c r="F419" s="34">
        <v>1978717</v>
      </c>
      <c r="G419" s="34">
        <v>1978716.62</v>
      </c>
      <c r="H419" s="34">
        <f t="shared" si="55"/>
        <v>0.38</v>
      </c>
      <c r="I419" s="35">
        <f t="shared" si="56"/>
        <v>100</v>
      </c>
      <c r="J419" s="34"/>
      <c r="K419" s="34">
        <f t="shared" si="57"/>
        <v>100</v>
      </c>
      <c r="L419" s="31"/>
    </row>
    <row r="420" spans="1:12" s="1" customFormat="1" ht="78">
      <c r="A420" s="52" t="s">
        <v>189</v>
      </c>
      <c r="B420" s="23" t="s">
        <v>38</v>
      </c>
      <c r="C420" s="53" t="s">
        <v>190</v>
      </c>
      <c r="D420" s="23" t="s">
        <v>26</v>
      </c>
      <c r="E420" s="34">
        <f>E421</f>
        <v>104143</v>
      </c>
      <c r="F420" s="34">
        <f>F421</f>
        <v>9791.9699999999993</v>
      </c>
      <c r="G420" s="34">
        <f>G421</f>
        <v>9791.9699999999993</v>
      </c>
      <c r="H420" s="34">
        <f t="shared" si="55"/>
        <v>0</v>
      </c>
      <c r="I420" s="35">
        <f t="shared" si="56"/>
        <v>9.4</v>
      </c>
      <c r="J420" s="34"/>
      <c r="K420" s="34">
        <f t="shared" si="57"/>
        <v>100</v>
      </c>
      <c r="L420" s="31"/>
    </row>
    <row r="421" spans="1:12" s="1" customFormat="1" ht="124.8">
      <c r="A421" s="36" t="s">
        <v>118</v>
      </c>
      <c r="B421" s="23" t="s">
        <v>38</v>
      </c>
      <c r="C421" s="53" t="s">
        <v>190</v>
      </c>
      <c r="D421" s="23" t="s">
        <v>119</v>
      </c>
      <c r="E421" s="34">
        <f>104143</f>
        <v>104143</v>
      </c>
      <c r="F421" s="34">
        <f>104143-94351.41+0.38</f>
        <v>9791.9699999999993</v>
      </c>
      <c r="G421" s="34">
        <f>104143-94351.41+0.38</f>
        <v>9791.9699999999993</v>
      </c>
      <c r="H421" s="34">
        <f t="shared" si="55"/>
        <v>0</v>
      </c>
      <c r="I421" s="35">
        <f t="shared" si="56"/>
        <v>9.4</v>
      </c>
      <c r="J421" s="45" t="s">
        <v>575</v>
      </c>
      <c r="K421" s="34">
        <f t="shared" si="57"/>
        <v>100</v>
      </c>
      <c r="L421" s="31"/>
    </row>
    <row r="422" spans="1:12" s="1" customFormat="1" ht="93.6">
      <c r="A422" s="51" t="s">
        <v>247</v>
      </c>
      <c r="B422" s="23" t="s">
        <v>38</v>
      </c>
      <c r="C422" s="64" t="s">
        <v>248</v>
      </c>
      <c r="D422" s="23" t="s">
        <v>26</v>
      </c>
      <c r="E422" s="31">
        <f>E423</f>
        <v>0</v>
      </c>
      <c r="F422" s="31">
        <f>F423</f>
        <v>0</v>
      </c>
      <c r="G422" s="31">
        <f>G423</f>
        <v>0</v>
      </c>
      <c r="H422" s="31">
        <f t="shared" si="55"/>
        <v>0</v>
      </c>
      <c r="I422" s="32" t="e">
        <f t="shared" si="56"/>
        <v>#DIV/0!</v>
      </c>
      <c r="J422" s="31"/>
      <c r="K422" s="31" t="e">
        <f t="shared" si="57"/>
        <v>#DIV/0!</v>
      </c>
      <c r="L422" s="31"/>
    </row>
    <row r="423" spans="1:12" s="2" customFormat="1" ht="124.8">
      <c r="A423" s="36" t="s">
        <v>118</v>
      </c>
      <c r="B423" s="23" t="s">
        <v>38</v>
      </c>
      <c r="C423" s="64" t="s">
        <v>248</v>
      </c>
      <c r="D423" s="23" t="s">
        <v>119</v>
      </c>
      <c r="E423" s="45">
        <v>0</v>
      </c>
      <c r="F423" s="45">
        <v>0</v>
      </c>
      <c r="G423" s="45">
        <v>0</v>
      </c>
      <c r="H423" s="45">
        <f t="shared" si="55"/>
        <v>0</v>
      </c>
      <c r="I423" s="57" t="e">
        <f t="shared" si="56"/>
        <v>#DIV/0!</v>
      </c>
      <c r="J423" s="45" t="s">
        <v>575</v>
      </c>
      <c r="K423" s="45" t="e">
        <f t="shared" si="57"/>
        <v>#DIV/0!</v>
      </c>
      <c r="L423" s="29"/>
    </row>
    <row r="424" spans="1:12" s="2" customFormat="1" ht="93.6">
      <c r="A424" s="72" t="s">
        <v>246</v>
      </c>
      <c r="B424" s="23" t="s">
        <v>38</v>
      </c>
      <c r="C424" s="64" t="s">
        <v>248</v>
      </c>
      <c r="D424" s="23" t="s">
        <v>26</v>
      </c>
      <c r="E424" s="31">
        <f>E425</f>
        <v>0</v>
      </c>
      <c r="F424" s="31">
        <f>F425</f>
        <v>0</v>
      </c>
      <c r="G424" s="31">
        <f>G425</f>
        <v>0</v>
      </c>
      <c r="H424" s="31">
        <f t="shared" si="55"/>
        <v>0</v>
      </c>
      <c r="I424" s="32" t="e">
        <f t="shared" si="56"/>
        <v>#DIV/0!</v>
      </c>
      <c r="J424" s="31"/>
      <c r="K424" s="31" t="e">
        <f t="shared" si="57"/>
        <v>#DIV/0!</v>
      </c>
      <c r="L424" s="29"/>
    </row>
    <row r="425" spans="1:12" s="2" customFormat="1" ht="124.8">
      <c r="A425" s="36" t="s">
        <v>118</v>
      </c>
      <c r="B425" s="23" t="s">
        <v>38</v>
      </c>
      <c r="C425" s="64" t="s">
        <v>248</v>
      </c>
      <c r="D425" s="23" t="s">
        <v>119</v>
      </c>
      <c r="E425" s="31">
        <v>0</v>
      </c>
      <c r="F425" s="31">
        <v>0</v>
      </c>
      <c r="G425" s="31">
        <v>0</v>
      </c>
      <c r="H425" s="31">
        <f t="shared" si="55"/>
        <v>0</v>
      </c>
      <c r="I425" s="32" t="e">
        <f t="shared" si="56"/>
        <v>#DIV/0!</v>
      </c>
      <c r="J425" s="42" t="s">
        <v>575</v>
      </c>
      <c r="K425" s="31" t="e">
        <f t="shared" si="57"/>
        <v>#DIV/0!</v>
      </c>
      <c r="L425" s="31"/>
    </row>
    <row r="426" spans="1:12" s="2" customFormat="1" ht="78">
      <c r="A426" s="51" t="s">
        <v>197</v>
      </c>
      <c r="B426" s="23" t="s">
        <v>38</v>
      </c>
      <c r="C426" s="64" t="s">
        <v>210</v>
      </c>
      <c r="D426" s="23" t="s">
        <v>26</v>
      </c>
      <c r="E426" s="34">
        <f>E427</f>
        <v>168005</v>
      </c>
      <c r="F426" s="34">
        <f>F427</f>
        <v>168005</v>
      </c>
      <c r="G426" s="34">
        <f>G427</f>
        <v>168005</v>
      </c>
      <c r="H426" s="34">
        <f t="shared" si="55"/>
        <v>0</v>
      </c>
      <c r="I426" s="35">
        <f t="shared" si="56"/>
        <v>100</v>
      </c>
      <c r="J426" s="34"/>
      <c r="K426" s="34">
        <f t="shared" si="57"/>
        <v>100</v>
      </c>
      <c r="L426" s="31"/>
    </row>
    <row r="427" spans="1:12" s="2" customFormat="1" ht="31.2">
      <c r="A427" s="36" t="s">
        <v>118</v>
      </c>
      <c r="B427" s="23" t="s">
        <v>38</v>
      </c>
      <c r="C427" s="64" t="s">
        <v>210</v>
      </c>
      <c r="D427" s="23" t="s">
        <v>119</v>
      </c>
      <c r="E427" s="34">
        <v>168005</v>
      </c>
      <c r="F427" s="34">
        <v>168005</v>
      </c>
      <c r="G427" s="34">
        <v>168005</v>
      </c>
      <c r="H427" s="34">
        <f t="shared" si="55"/>
        <v>0</v>
      </c>
      <c r="I427" s="35">
        <f t="shared" si="56"/>
        <v>100</v>
      </c>
      <c r="J427" s="34"/>
      <c r="K427" s="34">
        <f t="shared" si="57"/>
        <v>100</v>
      </c>
      <c r="L427" s="31"/>
    </row>
    <row r="428" spans="1:12" s="1" customFormat="1" ht="78">
      <c r="A428" s="51" t="s">
        <v>209</v>
      </c>
      <c r="B428" s="23" t="s">
        <v>38</v>
      </c>
      <c r="C428" s="64" t="s">
        <v>210</v>
      </c>
      <c r="D428" s="23" t="s">
        <v>26</v>
      </c>
      <c r="E428" s="34">
        <f>E429</f>
        <v>8842.3700000000008</v>
      </c>
      <c r="F428" s="34">
        <f>F429</f>
        <v>5196.03</v>
      </c>
      <c r="G428" s="34">
        <f>G429</f>
        <v>5196.03</v>
      </c>
      <c r="H428" s="34">
        <f t="shared" si="55"/>
        <v>0</v>
      </c>
      <c r="I428" s="35">
        <f t="shared" si="56"/>
        <v>58.76</v>
      </c>
      <c r="J428" s="34"/>
      <c r="K428" s="34">
        <f t="shared" si="57"/>
        <v>100</v>
      </c>
      <c r="L428" s="31"/>
    </row>
    <row r="429" spans="1:12" s="2" customFormat="1" ht="124.8">
      <c r="A429" s="36" t="s">
        <v>118</v>
      </c>
      <c r="B429" s="23" t="s">
        <v>38</v>
      </c>
      <c r="C429" s="64" t="s">
        <v>210</v>
      </c>
      <c r="D429" s="23" t="s">
        <v>119</v>
      </c>
      <c r="E429" s="34">
        <f>8842.37</f>
        <v>8842.3700000000008</v>
      </c>
      <c r="F429" s="34">
        <f>8842.37-3646.34</f>
        <v>5196.03</v>
      </c>
      <c r="G429" s="34">
        <f>8842.37-3646.34</f>
        <v>5196.03</v>
      </c>
      <c r="H429" s="34">
        <f t="shared" si="55"/>
        <v>0</v>
      </c>
      <c r="I429" s="35">
        <f t="shared" si="56"/>
        <v>58.76</v>
      </c>
      <c r="J429" s="45" t="s">
        <v>575</v>
      </c>
      <c r="K429" s="34">
        <f t="shared" si="57"/>
        <v>100</v>
      </c>
      <c r="L429" s="34"/>
    </row>
    <row r="430" spans="1:12" s="2" customFormat="1" ht="15.6">
      <c r="A430" s="72" t="s">
        <v>529</v>
      </c>
      <c r="B430" s="33" t="s">
        <v>38</v>
      </c>
      <c r="C430" s="33" t="s">
        <v>527</v>
      </c>
      <c r="D430" s="33" t="s">
        <v>26</v>
      </c>
      <c r="E430" s="34">
        <f>E431+E433</f>
        <v>0</v>
      </c>
      <c r="F430" s="34">
        <f>F431+F433</f>
        <v>19081295.699999999</v>
      </c>
      <c r="G430" s="34">
        <f>G431+G433</f>
        <v>19081295.699999999</v>
      </c>
      <c r="H430" s="34">
        <f t="shared" si="55"/>
        <v>0</v>
      </c>
      <c r="I430" s="35" t="e">
        <f t="shared" si="56"/>
        <v>#DIV/0!</v>
      </c>
      <c r="J430" s="34"/>
      <c r="K430" s="34">
        <f t="shared" si="57"/>
        <v>100</v>
      </c>
      <c r="L430" s="34"/>
    </row>
    <row r="431" spans="1:12" s="2" customFormat="1" ht="31.2">
      <c r="A431" s="36" t="s">
        <v>530</v>
      </c>
      <c r="B431" s="23" t="s">
        <v>38</v>
      </c>
      <c r="C431" s="64" t="s">
        <v>528</v>
      </c>
      <c r="D431" s="23" t="s">
        <v>26</v>
      </c>
      <c r="E431" s="34">
        <f>E432</f>
        <v>0</v>
      </c>
      <c r="F431" s="34">
        <f>F432</f>
        <v>18987337.77</v>
      </c>
      <c r="G431" s="34">
        <f>G432</f>
        <v>18987337.77</v>
      </c>
      <c r="H431" s="34">
        <f t="shared" si="55"/>
        <v>0</v>
      </c>
      <c r="I431" s="35" t="e">
        <f t="shared" si="56"/>
        <v>#DIV/0!</v>
      </c>
      <c r="J431" s="34"/>
      <c r="K431" s="34">
        <f t="shared" si="57"/>
        <v>100</v>
      </c>
      <c r="L431" s="34"/>
    </row>
    <row r="432" spans="1:12" s="2" customFormat="1" ht="124.8">
      <c r="A432" s="36" t="s">
        <v>118</v>
      </c>
      <c r="B432" s="23" t="s">
        <v>38</v>
      </c>
      <c r="C432" s="64" t="s">
        <v>528</v>
      </c>
      <c r="D432" s="23" t="s">
        <v>119</v>
      </c>
      <c r="E432" s="34">
        <f>0</f>
        <v>0</v>
      </c>
      <c r="F432" s="34">
        <f>0+16150357.14+3417629.28-580648.65</f>
        <v>18987337.77</v>
      </c>
      <c r="G432" s="34">
        <f>0+16150357.14+3417629.28-580648.65</f>
        <v>18987337.77</v>
      </c>
      <c r="H432" s="34">
        <f t="shared" si="55"/>
        <v>0</v>
      </c>
      <c r="I432" s="35" t="e">
        <f t="shared" si="56"/>
        <v>#DIV/0!</v>
      </c>
      <c r="J432" s="45" t="s">
        <v>575</v>
      </c>
      <c r="K432" s="34">
        <f t="shared" si="57"/>
        <v>100</v>
      </c>
      <c r="L432" s="34"/>
    </row>
    <row r="433" spans="1:12" s="1" customFormat="1" ht="31.2">
      <c r="A433" s="36" t="s">
        <v>531</v>
      </c>
      <c r="B433" s="23" t="s">
        <v>38</v>
      </c>
      <c r="C433" s="64" t="s">
        <v>528</v>
      </c>
      <c r="D433" s="23" t="s">
        <v>26</v>
      </c>
      <c r="E433" s="34">
        <f>E434</f>
        <v>0</v>
      </c>
      <c r="F433" s="34">
        <f>F434</f>
        <v>93957.93</v>
      </c>
      <c r="G433" s="34">
        <f>G434</f>
        <v>93957.93</v>
      </c>
      <c r="H433" s="34">
        <f t="shared" si="55"/>
        <v>0</v>
      </c>
      <c r="I433" s="35" t="e">
        <f t="shared" si="56"/>
        <v>#DIV/0!</v>
      </c>
      <c r="J433" s="34"/>
      <c r="K433" s="34">
        <f t="shared" si="57"/>
        <v>100</v>
      </c>
      <c r="L433" s="31"/>
    </row>
    <row r="434" spans="1:12" s="1" customFormat="1" ht="124.8">
      <c r="A434" s="51" t="s">
        <v>118</v>
      </c>
      <c r="B434" s="23" t="s">
        <v>38</v>
      </c>
      <c r="C434" s="64" t="s">
        <v>528</v>
      </c>
      <c r="D434" s="23" t="s">
        <v>119</v>
      </c>
      <c r="E434" s="34">
        <f>0</f>
        <v>0</v>
      </c>
      <c r="F434" s="34">
        <f>0+79919.3+16911.97-2873.34</f>
        <v>93957.93</v>
      </c>
      <c r="G434" s="34">
        <f>0+79919.3+16911.97-2873.34</f>
        <v>93957.93</v>
      </c>
      <c r="H434" s="34">
        <f t="shared" si="55"/>
        <v>0</v>
      </c>
      <c r="I434" s="35" t="e">
        <f t="shared" si="56"/>
        <v>#DIV/0!</v>
      </c>
      <c r="J434" s="45" t="s">
        <v>575</v>
      </c>
      <c r="K434" s="34">
        <f t="shared" si="57"/>
        <v>100</v>
      </c>
      <c r="L434" s="42"/>
    </row>
    <row r="435" spans="1:12" s="1" customFormat="1" ht="31.2">
      <c r="A435" s="51" t="s">
        <v>140</v>
      </c>
      <c r="B435" s="23" t="s">
        <v>69</v>
      </c>
      <c r="C435" s="23" t="s">
        <v>147</v>
      </c>
      <c r="D435" s="23" t="s">
        <v>26</v>
      </c>
      <c r="E435" s="31">
        <f>E436+E445</f>
        <v>15012037.01</v>
      </c>
      <c r="F435" s="31">
        <f>F436+F445</f>
        <v>17282092.260000002</v>
      </c>
      <c r="G435" s="31">
        <f>G436+G445</f>
        <v>17241792.379999999</v>
      </c>
      <c r="H435" s="31">
        <f t="shared" si="55"/>
        <v>40299.879999999997</v>
      </c>
      <c r="I435" s="32">
        <f t="shared" si="56"/>
        <v>114.85</v>
      </c>
      <c r="J435" s="31"/>
      <c r="K435" s="31">
        <f t="shared" si="57"/>
        <v>99.77</v>
      </c>
      <c r="L435" s="31"/>
    </row>
    <row r="436" spans="1:12" s="1" customFormat="1" ht="46.8">
      <c r="A436" s="51" t="s">
        <v>333</v>
      </c>
      <c r="B436" s="23" t="s">
        <v>69</v>
      </c>
      <c r="C436" s="23" t="s">
        <v>10</v>
      </c>
      <c r="D436" s="23" t="s">
        <v>26</v>
      </c>
      <c r="E436" s="31">
        <f>E437</f>
        <v>11927150</v>
      </c>
      <c r="F436" s="31">
        <f>F437</f>
        <v>14831624.77</v>
      </c>
      <c r="G436" s="31">
        <f>G437</f>
        <v>14791324.890000001</v>
      </c>
      <c r="H436" s="31">
        <f t="shared" si="55"/>
        <v>40299.879999999997</v>
      </c>
      <c r="I436" s="32">
        <f t="shared" si="56"/>
        <v>124.01</v>
      </c>
      <c r="J436" s="31"/>
      <c r="K436" s="31">
        <f t="shared" si="57"/>
        <v>99.73</v>
      </c>
      <c r="L436" s="34"/>
    </row>
    <row r="437" spans="1:12" s="1" customFormat="1" ht="62.4">
      <c r="A437" s="24" t="s">
        <v>340</v>
      </c>
      <c r="B437" s="54" t="s">
        <v>69</v>
      </c>
      <c r="C437" s="54" t="s">
        <v>17</v>
      </c>
      <c r="D437" s="54" t="s">
        <v>26</v>
      </c>
      <c r="E437" s="31">
        <f>E439+E443</f>
        <v>11927150</v>
      </c>
      <c r="F437" s="31">
        <f>F439+F443</f>
        <v>14831624.77</v>
      </c>
      <c r="G437" s="31">
        <f>G439+G443</f>
        <v>14791324.890000001</v>
      </c>
      <c r="H437" s="31">
        <f t="shared" si="55"/>
        <v>40299.879999999997</v>
      </c>
      <c r="I437" s="32">
        <f t="shared" si="56"/>
        <v>124.01</v>
      </c>
      <c r="J437" s="31"/>
      <c r="K437" s="31">
        <f t="shared" si="57"/>
        <v>99.73</v>
      </c>
      <c r="L437" s="34"/>
    </row>
    <row r="438" spans="1:12" s="1" customFormat="1" ht="62.4">
      <c r="A438" s="24" t="s">
        <v>485</v>
      </c>
      <c r="B438" s="54" t="s">
        <v>69</v>
      </c>
      <c r="C438" s="54" t="s">
        <v>484</v>
      </c>
      <c r="D438" s="54" t="s">
        <v>26</v>
      </c>
      <c r="E438" s="31">
        <f t="shared" ref="E438:G439" si="59">E439+E440+E441</f>
        <v>23854300</v>
      </c>
      <c r="F438" s="31">
        <f t="shared" si="59"/>
        <v>29663249.539999999</v>
      </c>
      <c r="G438" s="31">
        <f t="shared" si="59"/>
        <v>29582649.780000001</v>
      </c>
      <c r="H438" s="31">
        <f t="shared" si="55"/>
        <v>80599.759999999995</v>
      </c>
      <c r="I438" s="32">
        <f t="shared" si="56"/>
        <v>124.01</v>
      </c>
      <c r="J438" s="31"/>
      <c r="K438" s="31">
        <f t="shared" si="57"/>
        <v>99.73</v>
      </c>
      <c r="L438" s="31"/>
    </row>
    <row r="439" spans="1:12" s="1" customFormat="1" ht="46.8">
      <c r="A439" s="24" t="s">
        <v>112</v>
      </c>
      <c r="B439" s="54" t="s">
        <v>69</v>
      </c>
      <c r="C439" s="54" t="s">
        <v>341</v>
      </c>
      <c r="D439" s="54" t="s">
        <v>26</v>
      </c>
      <c r="E439" s="31">
        <f t="shared" si="59"/>
        <v>11927150</v>
      </c>
      <c r="F439" s="31">
        <f t="shared" si="59"/>
        <v>14831624.77</v>
      </c>
      <c r="G439" s="31">
        <f t="shared" si="59"/>
        <v>14791324.890000001</v>
      </c>
      <c r="H439" s="31">
        <f t="shared" si="55"/>
        <v>40299.879999999997</v>
      </c>
      <c r="I439" s="32">
        <f t="shared" si="56"/>
        <v>124.01</v>
      </c>
      <c r="J439" s="31"/>
      <c r="K439" s="31">
        <f t="shared" si="57"/>
        <v>99.73</v>
      </c>
      <c r="L439" s="34"/>
    </row>
    <row r="440" spans="1:12" s="1" customFormat="1" ht="124.8">
      <c r="A440" s="36" t="s">
        <v>133</v>
      </c>
      <c r="B440" s="54" t="s">
        <v>69</v>
      </c>
      <c r="C440" s="54" t="s">
        <v>341</v>
      </c>
      <c r="D440" s="23" t="s">
        <v>134</v>
      </c>
      <c r="E440" s="34">
        <f>10411800</f>
        <v>10411800</v>
      </c>
      <c r="F440" s="34">
        <f>10411800+1000000-50000+690000+1200000+120000</f>
        <v>13371800</v>
      </c>
      <c r="G440" s="34">
        <f>10411800+1000000-50000+690000+1200000+120000</f>
        <v>13371800</v>
      </c>
      <c r="H440" s="34">
        <f t="shared" si="55"/>
        <v>0</v>
      </c>
      <c r="I440" s="35">
        <f t="shared" si="56"/>
        <v>128.43</v>
      </c>
      <c r="J440" s="34"/>
      <c r="K440" s="34">
        <f t="shared" si="57"/>
        <v>100</v>
      </c>
      <c r="L440" s="45" t="s">
        <v>575</v>
      </c>
    </row>
    <row r="441" spans="1:12" s="1" customFormat="1" ht="31.2">
      <c r="A441" s="36" t="s">
        <v>118</v>
      </c>
      <c r="B441" s="54" t="s">
        <v>69</v>
      </c>
      <c r="C441" s="54" t="s">
        <v>341</v>
      </c>
      <c r="D441" s="23" t="s">
        <v>119</v>
      </c>
      <c r="E441" s="34">
        <f>1515350</f>
        <v>1515350</v>
      </c>
      <c r="F441" s="34">
        <f>1515350+42500-198025.23+100000</f>
        <v>1459824.77</v>
      </c>
      <c r="G441" s="106">
        <v>1419524.89</v>
      </c>
      <c r="H441" s="34">
        <f t="shared" si="55"/>
        <v>40299.879999999997</v>
      </c>
      <c r="I441" s="35">
        <f t="shared" si="56"/>
        <v>93.68</v>
      </c>
      <c r="J441" s="34"/>
      <c r="K441" s="34">
        <f t="shared" si="57"/>
        <v>97.24</v>
      </c>
      <c r="L441" s="34"/>
    </row>
    <row r="442" spans="1:12" s="1" customFormat="1" ht="124.8">
      <c r="A442" s="36" t="s">
        <v>122</v>
      </c>
      <c r="B442" s="54" t="s">
        <v>69</v>
      </c>
      <c r="C442" s="54" t="s">
        <v>341</v>
      </c>
      <c r="D442" s="23" t="s">
        <v>135</v>
      </c>
      <c r="E442" s="34">
        <v>0</v>
      </c>
      <c r="F442" s="34">
        <v>0</v>
      </c>
      <c r="G442" s="34">
        <v>0</v>
      </c>
      <c r="H442" s="34">
        <f t="shared" si="55"/>
        <v>0</v>
      </c>
      <c r="I442" s="35" t="e">
        <f t="shared" si="56"/>
        <v>#DIV/0!</v>
      </c>
      <c r="J442" s="34"/>
      <c r="K442" s="34" t="e">
        <f t="shared" si="57"/>
        <v>#DIV/0!</v>
      </c>
      <c r="L442" s="45" t="s">
        <v>575</v>
      </c>
    </row>
    <row r="443" spans="1:12" s="1" customFormat="1" ht="46.8">
      <c r="A443" s="24" t="s">
        <v>117</v>
      </c>
      <c r="B443" s="54" t="s">
        <v>69</v>
      </c>
      <c r="C443" s="23" t="s">
        <v>342</v>
      </c>
      <c r="D443" s="23" t="s">
        <v>26</v>
      </c>
      <c r="E443" s="34">
        <f>E444</f>
        <v>0</v>
      </c>
      <c r="F443" s="34">
        <f>F444</f>
        <v>0</v>
      </c>
      <c r="G443" s="34">
        <f>G444</f>
        <v>0</v>
      </c>
      <c r="H443" s="34">
        <f t="shared" si="55"/>
        <v>0</v>
      </c>
      <c r="I443" s="35" t="e">
        <f t="shared" si="56"/>
        <v>#DIV/0!</v>
      </c>
      <c r="J443" s="34"/>
      <c r="K443" s="34" t="e">
        <f t="shared" si="57"/>
        <v>#DIV/0!</v>
      </c>
      <c r="L443" s="31"/>
    </row>
    <row r="444" spans="1:12" s="1" customFormat="1" ht="31.2">
      <c r="A444" s="36" t="s">
        <v>118</v>
      </c>
      <c r="B444" s="54" t="s">
        <v>69</v>
      </c>
      <c r="C444" s="23" t="s">
        <v>342</v>
      </c>
      <c r="D444" s="23" t="s">
        <v>119</v>
      </c>
      <c r="E444" s="34">
        <v>0</v>
      </c>
      <c r="F444" s="34">
        <v>0</v>
      </c>
      <c r="G444" s="34">
        <v>0</v>
      </c>
      <c r="H444" s="34">
        <f t="shared" si="55"/>
        <v>0</v>
      </c>
      <c r="I444" s="35" t="e">
        <f t="shared" si="56"/>
        <v>#DIV/0!</v>
      </c>
      <c r="J444" s="34"/>
      <c r="K444" s="34" t="e">
        <f t="shared" si="57"/>
        <v>#DIV/0!</v>
      </c>
      <c r="L444" s="31"/>
    </row>
    <row r="445" spans="1:12" s="1" customFormat="1" ht="78">
      <c r="A445" s="36" t="s">
        <v>346</v>
      </c>
      <c r="B445" s="23" t="s">
        <v>69</v>
      </c>
      <c r="C445" s="64" t="s">
        <v>344</v>
      </c>
      <c r="D445" s="23" t="s">
        <v>26</v>
      </c>
      <c r="E445" s="31">
        <f t="shared" ref="E445:G446" si="60">E446</f>
        <v>3084887.01</v>
      </c>
      <c r="F445" s="31">
        <f t="shared" si="60"/>
        <v>2450467.4900000002</v>
      </c>
      <c r="G445" s="31">
        <f t="shared" si="60"/>
        <v>2450467.4900000002</v>
      </c>
      <c r="H445" s="31">
        <f t="shared" si="55"/>
        <v>0</v>
      </c>
      <c r="I445" s="32">
        <f t="shared" si="56"/>
        <v>79.430000000000007</v>
      </c>
      <c r="J445" s="31"/>
      <c r="K445" s="31">
        <f t="shared" si="57"/>
        <v>100</v>
      </c>
      <c r="L445" s="31"/>
    </row>
    <row r="446" spans="1:12" s="1" customFormat="1" ht="62.4">
      <c r="A446" s="36" t="s">
        <v>498</v>
      </c>
      <c r="B446" s="23" t="s">
        <v>69</v>
      </c>
      <c r="C446" s="64" t="s">
        <v>343</v>
      </c>
      <c r="D446" s="23" t="s">
        <v>26</v>
      </c>
      <c r="E446" s="31">
        <f t="shared" si="60"/>
        <v>3084887.01</v>
      </c>
      <c r="F446" s="31">
        <f t="shared" si="60"/>
        <v>2450467.4900000002</v>
      </c>
      <c r="G446" s="31">
        <f t="shared" si="60"/>
        <v>2450467.4900000002</v>
      </c>
      <c r="H446" s="31">
        <f t="shared" si="55"/>
        <v>0</v>
      </c>
      <c r="I446" s="32">
        <f t="shared" si="56"/>
        <v>79.430000000000007</v>
      </c>
      <c r="J446" s="31"/>
      <c r="K446" s="31">
        <f t="shared" si="57"/>
        <v>100</v>
      </c>
      <c r="L446" s="31"/>
    </row>
    <row r="447" spans="1:12" s="1" customFormat="1" ht="62.4">
      <c r="A447" s="36" t="s">
        <v>345</v>
      </c>
      <c r="B447" s="23" t="s">
        <v>69</v>
      </c>
      <c r="C447" s="64" t="s">
        <v>265</v>
      </c>
      <c r="D447" s="23" t="s">
        <v>26</v>
      </c>
      <c r="E447" s="31">
        <f>E448+E450+E452</f>
        <v>3084887.01</v>
      </c>
      <c r="F447" s="31">
        <f>F448+F450+F452</f>
        <v>2450467.4900000002</v>
      </c>
      <c r="G447" s="31">
        <f>G448+G450+G452</f>
        <v>2450467.4900000002</v>
      </c>
      <c r="H447" s="31">
        <f t="shared" si="55"/>
        <v>0</v>
      </c>
      <c r="I447" s="32">
        <f t="shared" si="56"/>
        <v>79.430000000000007</v>
      </c>
      <c r="J447" s="31"/>
      <c r="K447" s="31">
        <f t="shared" si="57"/>
        <v>100</v>
      </c>
      <c r="L447" s="34"/>
    </row>
    <row r="448" spans="1:12" s="1" customFormat="1" ht="78">
      <c r="A448" s="51" t="s">
        <v>263</v>
      </c>
      <c r="B448" s="23" t="s">
        <v>69</v>
      </c>
      <c r="C448" s="64" t="s">
        <v>264</v>
      </c>
      <c r="D448" s="23" t="s">
        <v>26</v>
      </c>
      <c r="E448" s="31">
        <f>E449</f>
        <v>2929692.66</v>
      </c>
      <c r="F448" s="31">
        <f>F449</f>
        <v>2262383.6</v>
      </c>
      <c r="G448" s="31">
        <f>G449</f>
        <v>2262383.6</v>
      </c>
      <c r="H448" s="31">
        <f t="shared" si="55"/>
        <v>0</v>
      </c>
      <c r="I448" s="32">
        <f t="shared" si="56"/>
        <v>77.22</v>
      </c>
      <c r="J448" s="31"/>
      <c r="K448" s="31">
        <f t="shared" si="57"/>
        <v>100</v>
      </c>
      <c r="L448" s="45"/>
    </row>
    <row r="449" spans="1:12" s="1" customFormat="1" ht="124.8">
      <c r="A449" s="36" t="s">
        <v>118</v>
      </c>
      <c r="B449" s="23" t="s">
        <v>69</v>
      </c>
      <c r="C449" s="64" t="s">
        <v>264</v>
      </c>
      <c r="D449" s="23" t="s">
        <v>119</v>
      </c>
      <c r="E449" s="31">
        <f>2929692.66</f>
        <v>2929692.66</v>
      </c>
      <c r="F449" s="31">
        <f>2929692.66-667309.06</f>
        <v>2262383.6</v>
      </c>
      <c r="G449" s="31">
        <f>2929692.66-667309.06</f>
        <v>2262383.6</v>
      </c>
      <c r="H449" s="31">
        <f t="shared" si="55"/>
        <v>0</v>
      </c>
      <c r="I449" s="32">
        <f t="shared" si="56"/>
        <v>77.22</v>
      </c>
      <c r="J449" s="42" t="s">
        <v>575</v>
      </c>
      <c r="K449" s="31">
        <f t="shared" si="57"/>
        <v>100</v>
      </c>
      <c r="L449" s="34"/>
    </row>
    <row r="450" spans="1:12" s="1" customFormat="1" ht="62.4">
      <c r="A450" s="36" t="s">
        <v>488</v>
      </c>
      <c r="B450" s="23" t="s">
        <v>69</v>
      </c>
      <c r="C450" s="64" t="s">
        <v>264</v>
      </c>
      <c r="D450" s="23" t="s">
        <v>26</v>
      </c>
      <c r="E450" s="31">
        <f>E451</f>
        <v>154194.35</v>
      </c>
      <c r="F450" s="31">
        <f>F451</f>
        <v>69970.63</v>
      </c>
      <c r="G450" s="31">
        <f>G451</f>
        <v>69970.63</v>
      </c>
      <c r="H450" s="31">
        <f t="shared" si="55"/>
        <v>0</v>
      </c>
      <c r="I450" s="32">
        <f t="shared" si="56"/>
        <v>45.38</v>
      </c>
      <c r="J450" s="31"/>
      <c r="K450" s="31">
        <f t="shared" si="57"/>
        <v>100</v>
      </c>
      <c r="L450" s="45"/>
    </row>
    <row r="451" spans="1:12" s="1" customFormat="1" ht="124.8">
      <c r="A451" s="36" t="s">
        <v>118</v>
      </c>
      <c r="B451" s="23" t="s">
        <v>69</v>
      </c>
      <c r="C451" s="64" t="s">
        <v>264</v>
      </c>
      <c r="D451" s="23" t="s">
        <v>119</v>
      </c>
      <c r="E451" s="31">
        <f>154194.35</f>
        <v>154194.35</v>
      </c>
      <c r="F451" s="31">
        <f>154194.35-84223.72</f>
        <v>69970.63</v>
      </c>
      <c r="G451" s="31">
        <f>154194.35-84223.72</f>
        <v>69970.63</v>
      </c>
      <c r="H451" s="31">
        <f t="shared" si="55"/>
        <v>0</v>
      </c>
      <c r="I451" s="32">
        <f t="shared" si="56"/>
        <v>45.38</v>
      </c>
      <c r="J451" s="42" t="s">
        <v>575</v>
      </c>
      <c r="K451" s="31">
        <f t="shared" si="57"/>
        <v>100</v>
      </c>
      <c r="L451" s="34"/>
    </row>
    <row r="452" spans="1:12" s="1" customFormat="1" ht="31.2">
      <c r="A452" s="36" t="s">
        <v>262</v>
      </c>
      <c r="B452" s="23" t="s">
        <v>69</v>
      </c>
      <c r="C452" s="64" t="s">
        <v>487</v>
      </c>
      <c r="D452" s="23" t="s">
        <v>26</v>
      </c>
      <c r="E452" s="31">
        <f>E453</f>
        <v>1000</v>
      </c>
      <c r="F452" s="31">
        <f>F453</f>
        <v>118113.26</v>
      </c>
      <c r="G452" s="31">
        <f>G453</f>
        <v>118113.26</v>
      </c>
      <c r="H452" s="31">
        <f t="shared" si="55"/>
        <v>0</v>
      </c>
      <c r="I452" s="32">
        <f t="shared" si="56"/>
        <v>11811.33</v>
      </c>
      <c r="J452" s="31"/>
      <c r="K452" s="31">
        <f t="shared" si="57"/>
        <v>100</v>
      </c>
      <c r="L452" s="34"/>
    </row>
    <row r="453" spans="1:12" s="1" customFormat="1" ht="31.2">
      <c r="A453" s="36" t="s">
        <v>118</v>
      </c>
      <c r="B453" s="23" t="s">
        <v>69</v>
      </c>
      <c r="C453" s="64" t="s">
        <v>487</v>
      </c>
      <c r="D453" s="23" t="s">
        <v>119</v>
      </c>
      <c r="E453" s="31">
        <f>1000</f>
        <v>1000</v>
      </c>
      <c r="F453" s="31">
        <f>1000+117113.26</f>
        <v>118113.26</v>
      </c>
      <c r="G453" s="31">
        <f>1000+117113.26</f>
        <v>118113.26</v>
      </c>
      <c r="H453" s="31">
        <f t="shared" si="55"/>
        <v>0</v>
      </c>
      <c r="I453" s="32">
        <f t="shared" si="56"/>
        <v>11811.33</v>
      </c>
      <c r="J453" s="31"/>
      <c r="K453" s="31">
        <f t="shared" si="57"/>
        <v>100</v>
      </c>
      <c r="L453" s="34"/>
    </row>
    <row r="454" spans="1:12" s="1" customFormat="1" ht="15.6">
      <c r="A454" s="65" t="s">
        <v>87</v>
      </c>
      <c r="B454" s="27" t="s">
        <v>89</v>
      </c>
      <c r="C454" s="65" t="s">
        <v>147</v>
      </c>
      <c r="D454" s="27" t="s">
        <v>26</v>
      </c>
      <c r="E454" s="29">
        <f t="shared" ref="E454:G458" si="61">E455</f>
        <v>300000</v>
      </c>
      <c r="F454" s="29">
        <f t="shared" si="61"/>
        <v>300000</v>
      </c>
      <c r="G454" s="29">
        <f t="shared" si="61"/>
        <v>299999.5</v>
      </c>
      <c r="H454" s="29">
        <f t="shared" si="55"/>
        <v>0.5</v>
      </c>
      <c r="I454" s="30">
        <f t="shared" si="56"/>
        <v>100</v>
      </c>
      <c r="J454" s="29"/>
      <c r="K454" s="29">
        <f t="shared" si="57"/>
        <v>100</v>
      </c>
      <c r="L454" s="34"/>
    </row>
    <row r="455" spans="1:12" s="1" customFormat="1" ht="15.6">
      <c r="A455" s="24" t="s">
        <v>88</v>
      </c>
      <c r="B455" s="23" t="s">
        <v>90</v>
      </c>
      <c r="C455" s="24" t="s">
        <v>147</v>
      </c>
      <c r="D455" s="23" t="s">
        <v>26</v>
      </c>
      <c r="E455" s="31">
        <f t="shared" si="61"/>
        <v>300000</v>
      </c>
      <c r="F455" s="31">
        <f t="shared" si="61"/>
        <v>300000</v>
      </c>
      <c r="G455" s="31">
        <f t="shared" si="61"/>
        <v>299999.5</v>
      </c>
      <c r="H455" s="31">
        <f t="shared" si="55"/>
        <v>0.5</v>
      </c>
      <c r="I455" s="32">
        <f t="shared" si="56"/>
        <v>100</v>
      </c>
      <c r="J455" s="31"/>
      <c r="K455" s="31">
        <f t="shared" si="57"/>
        <v>100</v>
      </c>
      <c r="L455" s="31"/>
    </row>
    <row r="456" spans="1:12" s="1" customFormat="1" ht="62.4">
      <c r="A456" s="24" t="s">
        <v>365</v>
      </c>
      <c r="B456" s="23" t="s">
        <v>90</v>
      </c>
      <c r="C456" s="24" t="s">
        <v>2</v>
      </c>
      <c r="D456" s="23" t="s">
        <v>26</v>
      </c>
      <c r="E456" s="34">
        <f t="shared" si="61"/>
        <v>300000</v>
      </c>
      <c r="F456" s="34">
        <f t="shared" si="61"/>
        <v>300000</v>
      </c>
      <c r="G456" s="34">
        <f t="shared" si="61"/>
        <v>299999.5</v>
      </c>
      <c r="H456" s="34">
        <f t="shared" si="55"/>
        <v>0.5</v>
      </c>
      <c r="I456" s="35">
        <f t="shared" si="56"/>
        <v>100</v>
      </c>
      <c r="J456" s="34"/>
      <c r="K456" s="34">
        <f t="shared" si="57"/>
        <v>100</v>
      </c>
      <c r="L456" s="42"/>
    </row>
    <row r="457" spans="1:12" s="1" customFormat="1" ht="46.8">
      <c r="A457" s="23" t="s">
        <v>366</v>
      </c>
      <c r="B457" s="23" t="s">
        <v>90</v>
      </c>
      <c r="C457" s="24" t="s">
        <v>3</v>
      </c>
      <c r="D457" s="23" t="s">
        <v>26</v>
      </c>
      <c r="E457" s="34">
        <f t="shared" si="61"/>
        <v>300000</v>
      </c>
      <c r="F457" s="34">
        <f t="shared" si="61"/>
        <v>300000</v>
      </c>
      <c r="G457" s="34">
        <f t="shared" si="61"/>
        <v>299999.5</v>
      </c>
      <c r="H457" s="34">
        <f t="shared" ref="H457:H520" si="62">$F457-$G457</f>
        <v>0.5</v>
      </c>
      <c r="I457" s="35">
        <f t="shared" ref="I457:I520" si="63">$G457/$E457*100</f>
        <v>100</v>
      </c>
      <c r="J457" s="34"/>
      <c r="K457" s="34">
        <f t="shared" ref="K457:K520" si="64">$G457/$F457*100</f>
        <v>100</v>
      </c>
      <c r="L457" s="31"/>
    </row>
    <row r="458" spans="1:12" s="1" customFormat="1" ht="31.2">
      <c r="A458" s="36" t="s">
        <v>367</v>
      </c>
      <c r="B458" s="23" t="s">
        <v>90</v>
      </c>
      <c r="C458" s="24" t="s">
        <v>4</v>
      </c>
      <c r="D458" s="23" t="s">
        <v>26</v>
      </c>
      <c r="E458" s="34">
        <f t="shared" si="61"/>
        <v>300000</v>
      </c>
      <c r="F458" s="34">
        <f t="shared" si="61"/>
        <v>300000</v>
      </c>
      <c r="G458" s="34">
        <f t="shared" si="61"/>
        <v>299999.5</v>
      </c>
      <c r="H458" s="34">
        <f t="shared" si="62"/>
        <v>0.5</v>
      </c>
      <c r="I458" s="35">
        <f t="shared" si="63"/>
        <v>100</v>
      </c>
      <c r="J458" s="34"/>
      <c r="K458" s="34">
        <f t="shared" si="64"/>
        <v>100</v>
      </c>
      <c r="L458" s="31"/>
    </row>
    <row r="459" spans="1:12" s="1" customFormat="1" ht="31.2">
      <c r="A459" s="36" t="s">
        <v>118</v>
      </c>
      <c r="B459" s="23" t="s">
        <v>90</v>
      </c>
      <c r="C459" s="24" t="s">
        <v>4</v>
      </c>
      <c r="D459" s="23" t="s">
        <v>119</v>
      </c>
      <c r="E459" s="73">
        <v>300000</v>
      </c>
      <c r="F459" s="73">
        <v>300000</v>
      </c>
      <c r="G459" s="73">
        <v>299999.5</v>
      </c>
      <c r="H459" s="73">
        <f t="shared" si="62"/>
        <v>0.5</v>
      </c>
      <c r="I459" s="74">
        <f t="shared" si="63"/>
        <v>100</v>
      </c>
      <c r="J459" s="34"/>
      <c r="K459" s="34">
        <f t="shared" si="64"/>
        <v>100</v>
      </c>
      <c r="L459" s="45"/>
    </row>
    <row r="460" spans="1:12" s="1" customFormat="1" ht="15.6">
      <c r="A460" s="65" t="s">
        <v>57</v>
      </c>
      <c r="B460" s="107" t="s">
        <v>58</v>
      </c>
      <c r="C460" s="107" t="s">
        <v>147</v>
      </c>
      <c r="D460" s="107" t="s">
        <v>26</v>
      </c>
      <c r="E460" s="29">
        <f>E461+E467+E478+E503</f>
        <v>71433103</v>
      </c>
      <c r="F460" s="29">
        <f>F461+F467+F478+F503</f>
        <v>66590169.770000003</v>
      </c>
      <c r="G460" s="29">
        <f>G461+G467+G478+G503</f>
        <v>62644376.090000004</v>
      </c>
      <c r="H460" s="29">
        <f t="shared" si="62"/>
        <v>3945793.68</v>
      </c>
      <c r="I460" s="30">
        <f t="shared" si="63"/>
        <v>87.7</v>
      </c>
      <c r="J460" s="29"/>
      <c r="K460" s="29">
        <f t="shared" si="64"/>
        <v>94.07</v>
      </c>
      <c r="L460" s="31"/>
    </row>
    <row r="461" spans="1:12" s="1" customFormat="1" ht="15.6">
      <c r="A461" s="23" t="s">
        <v>33</v>
      </c>
      <c r="B461" s="54" t="s">
        <v>48</v>
      </c>
      <c r="C461" s="54" t="s">
        <v>147</v>
      </c>
      <c r="D461" s="54" t="s">
        <v>26</v>
      </c>
      <c r="E461" s="34">
        <f t="shared" ref="E461:G462" si="65">E462</f>
        <v>3528000</v>
      </c>
      <c r="F461" s="34">
        <f t="shared" si="65"/>
        <v>3404530.91</v>
      </c>
      <c r="G461" s="34">
        <f t="shared" si="65"/>
        <v>3375859.86</v>
      </c>
      <c r="H461" s="34">
        <f t="shared" si="62"/>
        <v>28671.05</v>
      </c>
      <c r="I461" s="35">
        <f t="shared" si="63"/>
        <v>95.69</v>
      </c>
      <c r="J461" s="34"/>
      <c r="K461" s="34">
        <f t="shared" si="64"/>
        <v>99.16</v>
      </c>
      <c r="L461" s="31"/>
    </row>
    <row r="462" spans="1:12" s="1" customFormat="1" ht="46.8">
      <c r="A462" s="51" t="s">
        <v>328</v>
      </c>
      <c r="B462" s="54" t="s">
        <v>48</v>
      </c>
      <c r="C462" s="54" t="s">
        <v>5</v>
      </c>
      <c r="D462" s="54" t="s">
        <v>26</v>
      </c>
      <c r="E462" s="34">
        <f t="shared" si="65"/>
        <v>3528000</v>
      </c>
      <c r="F462" s="34">
        <f t="shared" si="65"/>
        <v>3404530.91</v>
      </c>
      <c r="G462" s="34">
        <f t="shared" si="65"/>
        <v>3375859.86</v>
      </c>
      <c r="H462" s="34">
        <f t="shared" si="62"/>
        <v>28671.05</v>
      </c>
      <c r="I462" s="35">
        <f t="shared" si="63"/>
        <v>95.69</v>
      </c>
      <c r="J462" s="34"/>
      <c r="K462" s="34">
        <f t="shared" si="64"/>
        <v>99.16</v>
      </c>
      <c r="L462" s="42"/>
    </row>
    <row r="463" spans="1:12" s="1" customFormat="1" ht="31.2">
      <c r="A463" s="50" t="s">
        <v>369</v>
      </c>
      <c r="B463" s="54" t="s">
        <v>48</v>
      </c>
      <c r="C463" s="54" t="s">
        <v>368</v>
      </c>
      <c r="D463" s="54" t="s">
        <v>26</v>
      </c>
      <c r="E463" s="34">
        <f>E465</f>
        <v>3528000</v>
      </c>
      <c r="F463" s="34">
        <f>F465</f>
        <v>3404530.91</v>
      </c>
      <c r="G463" s="34">
        <f>G465</f>
        <v>3375859.86</v>
      </c>
      <c r="H463" s="34">
        <f t="shared" si="62"/>
        <v>28671.05</v>
      </c>
      <c r="I463" s="35">
        <f t="shared" si="63"/>
        <v>95.69</v>
      </c>
      <c r="J463" s="34"/>
      <c r="K463" s="34">
        <f t="shared" si="64"/>
        <v>99.16</v>
      </c>
      <c r="L463" s="31"/>
    </row>
    <row r="464" spans="1:12" s="1" customFormat="1" ht="31.2">
      <c r="A464" s="24" t="s">
        <v>372</v>
      </c>
      <c r="B464" s="23" t="s">
        <v>48</v>
      </c>
      <c r="C464" s="23" t="s">
        <v>371</v>
      </c>
      <c r="D464" s="23" t="s">
        <v>26</v>
      </c>
      <c r="E464" s="34">
        <f t="shared" ref="E464:G465" si="66">E465</f>
        <v>3528000</v>
      </c>
      <c r="F464" s="34">
        <f t="shared" si="66"/>
        <v>3404530.91</v>
      </c>
      <c r="G464" s="34">
        <f t="shared" si="66"/>
        <v>3375859.86</v>
      </c>
      <c r="H464" s="34">
        <f t="shared" si="62"/>
        <v>28671.05</v>
      </c>
      <c r="I464" s="35">
        <f t="shared" si="63"/>
        <v>95.69</v>
      </c>
      <c r="J464" s="34"/>
      <c r="K464" s="34">
        <f t="shared" si="64"/>
        <v>99.16</v>
      </c>
      <c r="L464" s="31"/>
    </row>
    <row r="465" spans="1:12" s="1" customFormat="1" ht="15.6">
      <c r="A465" s="24" t="s">
        <v>106</v>
      </c>
      <c r="B465" s="23" t="s">
        <v>48</v>
      </c>
      <c r="C465" s="23" t="s">
        <v>370</v>
      </c>
      <c r="D465" s="23" t="s">
        <v>26</v>
      </c>
      <c r="E465" s="34">
        <f t="shared" si="66"/>
        <v>3528000</v>
      </c>
      <c r="F465" s="34">
        <f t="shared" si="66"/>
        <v>3404530.91</v>
      </c>
      <c r="G465" s="34">
        <f t="shared" si="66"/>
        <v>3375859.86</v>
      </c>
      <c r="H465" s="34">
        <f t="shared" si="62"/>
        <v>28671.05</v>
      </c>
      <c r="I465" s="35">
        <f t="shared" si="63"/>
        <v>95.69</v>
      </c>
      <c r="J465" s="34"/>
      <c r="K465" s="34">
        <f t="shared" si="64"/>
        <v>99.16</v>
      </c>
      <c r="L465" s="31"/>
    </row>
    <row r="466" spans="1:12" s="1" customFormat="1" ht="31.2">
      <c r="A466" s="24" t="s">
        <v>127</v>
      </c>
      <c r="B466" s="23" t="s">
        <v>48</v>
      </c>
      <c r="C466" s="23" t="s">
        <v>370</v>
      </c>
      <c r="D466" s="23" t="s">
        <v>128</v>
      </c>
      <c r="E466" s="34">
        <f>3528000</f>
        <v>3528000</v>
      </c>
      <c r="F466" s="34">
        <f>3528000+288000+113615-525084.09</f>
        <v>3404530.91</v>
      </c>
      <c r="G466" s="34">
        <v>3375859.86</v>
      </c>
      <c r="H466" s="34">
        <f t="shared" si="62"/>
        <v>28671.05</v>
      </c>
      <c r="I466" s="35">
        <f t="shared" si="63"/>
        <v>95.69</v>
      </c>
      <c r="J466" s="34"/>
      <c r="K466" s="34">
        <f t="shared" si="64"/>
        <v>99.16</v>
      </c>
      <c r="L466" s="31"/>
    </row>
    <row r="467" spans="1:12" s="1" customFormat="1" ht="15.6">
      <c r="A467" s="24" t="s">
        <v>85</v>
      </c>
      <c r="B467" s="23" t="s">
        <v>86</v>
      </c>
      <c r="C467" s="23" t="s">
        <v>147</v>
      </c>
      <c r="D467" s="23" t="s">
        <v>26</v>
      </c>
      <c r="E467" s="34">
        <f>E468</f>
        <v>3904200</v>
      </c>
      <c r="F467" s="34">
        <f>F468</f>
        <v>1643728</v>
      </c>
      <c r="G467" s="34">
        <f>G468</f>
        <v>1629728</v>
      </c>
      <c r="H467" s="34">
        <f t="shared" si="62"/>
        <v>14000</v>
      </c>
      <c r="I467" s="35">
        <f t="shared" si="63"/>
        <v>41.74</v>
      </c>
      <c r="J467" s="34"/>
      <c r="K467" s="34">
        <f t="shared" si="64"/>
        <v>99.15</v>
      </c>
      <c r="L467" s="34"/>
    </row>
    <row r="468" spans="1:12" s="1" customFormat="1" ht="46.8">
      <c r="A468" s="24" t="s">
        <v>495</v>
      </c>
      <c r="B468" s="23" t="s">
        <v>86</v>
      </c>
      <c r="C468" s="23" t="s">
        <v>0</v>
      </c>
      <c r="D468" s="23" t="s">
        <v>26</v>
      </c>
      <c r="E468" s="31">
        <f>E469+E474</f>
        <v>3904200</v>
      </c>
      <c r="F468" s="31">
        <f>F469+F474</f>
        <v>1643728</v>
      </c>
      <c r="G468" s="31">
        <f>G469+G474</f>
        <v>1629728</v>
      </c>
      <c r="H468" s="31">
        <f t="shared" si="62"/>
        <v>14000</v>
      </c>
      <c r="I468" s="32">
        <f t="shared" si="63"/>
        <v>41.74</v>
      </c>
      <c r="J468" s="31"/>
      <c r="K468" s="31">
        <f t="shared" si="64"/>
        <v>99.15</v>
      </c>
      <c r="L468" s="31"/>
    </row>
    <row r="469" spans="1:12" s="1" customFormat="1" ht="31.2">
      <c r="A469" s="24" t="s">
        <v>323</v>
      </c>
      <c r="B469" s="23" t="s">
        <v>86</v>
      </c>
      <c r="C469" s="23" t="s">
        <v>21</v>
      </c>
      <c r="D469" s="54" t="s">
        <v>26</v>
      </c>
      <c r="E469" s="31">
        <f>E471</f>
        <v>874200</v>
      </c>
      <c r="F469" s="31">
        <f>F471</f>
        <v>473728</v>
      </c>
      <c r="G469" s="31">
        <f>G471</f>
        <v>459728</v>
      </c>
      <c r="H469" s="31">
        <f t="shared" si="62"/>
        <v>14000</v>
      </c>
      <c r="I469" s="32">
        <f t="shared" si="63"/>
        <v>52.59</v>
      </c>
      <c r="J469" s="31"/>
      <c r="K469" s="31">
        <f t="shared" si="64"/>
        <v>97.04</v>
      </c>
      <c r="L469" s="31"/>
    </row>
    <row r="470" spans="1:12" s="1" customFormat="1" ht="46.8">
      <c r="A470" s="51" t="s">
        <v>327</v>
      </c>
      <c r="B470" s="33" t="s">
        <v>86</v>
      </c>
      <c r="C470" s="33" t="s">
        <v>326</v>
      </c>
      <c r="D470" s="33" t="s">
        <v>26</v>
      </c>
      <c r="E470" s="34">
        <f t="shared" ref="E470:G472" si="67">E471</f>
        <v>874200</v>
      </c>
      <c r="F470" s="34">
        <f t="shared" si="67"/>
        <v>473728</v>
      </c>
      <c r="G470" s="34">
        <f t="shared" si="67"/>
        <v>459728</v>
      </c>
      <c r="H470" s="34">
        <f t="shared" si="62"/>
        <v>14000</v>
      </c>
      <c r="I470" s="35">
        <f t="shared" si="63"/>
        <v>52.59</v>
      </c>
      <c r="J470" s="34"/>
      <c r="K470" s="34">
        <f t="shared" si="64"/>
        <v>97.04</v>
      </c>
      <c r="L470" s="31"/>
    </row>
    <row r="471" spans="1:12" s="1" customFormat="1" ht="31.2">
      <c r="A471" s="72" t="s">
        <v>474</v>
      </c>
      <c r="B471" s="23" t="s">
        <v>86</v>
      </c>
      <c r="C471" s="33" t="s">
        <v>326</v>
      </c>
      <c r="D471" s="23" t="s">
        <v>26</v>
      </c>
      <c r="E471" s="34">
        <f t="shared" si="67"/>
        <v>874200</v>
      </c>
      <c r="F471" s="34">
        <f t="shared" si="67"/>
        <v>473728</v>
      </c>
      <c r="G471" s="34">
        <f t="shared" si="67"/>
        <v>459728</v>
      </c>
      <c r="H471" s="34">
        <f t="shared" si="62"/>
        <v>14000</v>
      </c>
      <c r="I471" s="35">
        <f t="shared" si="63"/>
        <v>52.59</v>
      </c>
      <c r="J471" s="34"/>
      <c r="K471" s="34">
        <f t="shared" si="64"/>
        <v>97.04</v>
      </c>
      <c r="L471" s="34"/>
    </row>
    <row r="472" spans="1:12" s="1" customFormat="1" ht="31.2">
      <c r="A472" s="51" t="s">
        <v>284</v>
      </c>
      <c r="B472" s="33" t="s">
        <v>86</v>
      </c>
      <c r="C472" s="53" t="s">
        <v>501</v>
      </c>
      <c r="D472" s="23" t="s">
        <v>26</v>
      </c>
      <c r="E472" s="31">
        <f t="shared" si="67"/>
        <v>874200</v>
      </c>
      <c r="F472" s="31">
        <f t="shared" si="67"/>
        <v>473728</v>
      </c>
      <c r="G472" s="31">
        <f t="shared" si="67"/>
        <v>459728</v>
      </c>
      <c r="H472" s="31">
        <f t="shared" si="62"/>
        <v>14000</v>
      </c>
      <c r="I472" s="32">
        <f t="shared" si="63"/>
        <v>52.59</v>
      </c>
      <c r="J472" s="31"/>
      <c r="K472" s="31">
        <f t="shared" si="64"/>
        <v>97.04</v>
      </c>
      <c r="L472" s="31"/>
    </row>
    <row r="473" spans="1:12" s="1" customFormat="1" ht="124.8">
      <c r="A473" s="24" t="s">
        <v>194</v>
      </c>
      <c r="B473" s="33" t="s">
        <v>86</v>
      </c>
      <c r="C473" s="53" t="s">
        <v>501</v>
      </c>
      <c r="D473" s="23" t="s">
        <v>130</v>
      </c>
      <c r="E473" s="34">
        <f>874200</f>
        <v>874200</v>
      </c>
      <c r="F473" s="34">
        <f>874200-400472</f>
        <v>473728</v>
      </c>
      <c r="G473" s="34">
        <v>459728</v>
      </c>
      <c r="H473" s="34">
        <f t="shared" si="62"/>
        <v>14000</v>
      </c>
      <c r="I473" s="35">
        <f t="shared" si="63"/>
        <v>52.59</v>
      </c>
      <c r="J473" s="34"/>
      <c r="K473" s="34">
        <f t="shared" si="64"/>
        <v>97.04</v>
      </c>
      <c r="L473" s="42" t="s">
        <v>575</v>
      </c>
    </row>
    <row r="474" spans="1:12" s="1" customFormat="1" ht="15.6">
      <c r="A474" s="72" t="s">
        <v>490</v>
      </c>
      <c r="B474" s="33" t="s">
        <v>86</v>
      </c>
      <c r="C474" s="33" t="s">
        <v>175</v>
      </c>
      <c r="D474" s="33" t="s">
        <v>26</v>
      </c>
      <c r="E474" s="34">
        <f t="shared" ref="E474:G476" si="68">E475</f>
        <v>3030000</v>
      </c>
      <c r="F474" s="34">
        <f t="shared" si="68"/>
        <v>1170000</v>
      </c>
      <c r="G474" s="34">
        <f t="shared" si="68"/>
        <v>1170000</v>
      </c>
      <c r="H474" s="34">
        <f t="shared" si="62"/>
        <v>0</v>
      </c>
      <c r="I474" s="35">
        <f t="shared" si="63"/>
        <v>38.61</v>
      </c>
      <c r="J474" s="34"/>
      <c r="K474" s="34">
        <f t="shared" si="64"/>
        <v>100</v>
      </c>
      <c r="L474" s="31"/>
    </row>
    <row r="475" spans="1:12" s="1" customFormat="1" ht="124.8">
      <c r="A475" s="72" t="s">
        <v>281</v>
      </c>
      <c r="B475" s="33" t="s">
        <v>86</v>
      </c>
      <c r="C475" s="33" t="s">
        <v>196</v>
      </c>
      <c r="D475" s="33" t="s">
        <v>26</v>
      </c>
      <c r="E475" s="34">
        <f t="shared" si="68"/>
        <v>3030000</v>
      </c>
      <c r="F475" s="34">
        <f t="shared" si="68"/>
        <v>1170000</v>
      </c>
      <c r="G475" s="34">
        <f t="shared" si="68"/>
        <v>1170000</v>
      </c>
      <c r="H475" s="34">
        <f t="shared" si="62"/>
        <v>0</v>
      </c>
      <c r="I475" s="35">
        <f t="shared" si="63"/>
        <v>38.61</v>
      </c>
      <c r="J475" s="34"/>
      <c r="K475" s="34">
        <f t="shared" si="64"/>
        <v>100</v>
      </c>
      <c r="L475" s="45" t="s">
        <v>575</v>
      </c>
    </row>
    <row r="476" spans="1:12" s="1" customFormat="1" ht="93.6">
      <c r="A476" s="51" t="s">
        <v>193</v>
      </c>
      <c r="B476" s="33" t="s">
        <v>86</v>
      </c>
      <c r="C476" s="33" t="s">
        <v>239</v>
      </c>
      <c r="D476" s="33" t="s">
        <v>26</v>
      </c>
      <c r="E476" s="34">
        <f t="shared" si="68"/>
        <v>3030000</v>
      </c>
      <c r="F476" s="34">
        <f t="shared" si="68"/>
        <v>1170000</v>
      </c>
      <c r="G476" s="34">
        <f t="shared" si="68"/>
        <v>1170000</v>
      </c>
      <c r="H476" s="34">
        <f t="shared" si="62"/>
        <v>0</v>
      </c>
      <c r="I476" s="35">
        <f t="shared" si="63"/>
        <v>38.61</v>
      </c>
      <c r="J476" s="34"/>
      <c r="K476" s="34">
        <f t="shared" si="64"/>
        <v>100</v>
      </c>
      <c r="L476" s="31"/>
    </row>
    <row r="477" spans="1:12" s="1" customFormat="1" ht="124.8">
      <c r="A477" s="51" t="s">
        <v>194</v>
      </c>
      <c r="B477" s="33" t="s">
        <v>86</v>
      </c>
      <c r="C477" s="33" t="s">
        <v>239</v>
      </c>
      <c r="D477" s="33" t="s">
        <v>130</v>
      </c>
      <c r="E477" s="45">
        <f>3030000</f>
        <v>3030000</v>
      </c>
      <c r="F477" s="45">
        <f>3030000-1860000</f>
        <v>1170000</v>
      </c>
      <c r="G477" s="45">
        <f>3030000-1860000</f>
        <v>1170000</v>
      </c>
      <c r="H477" s="45">
        <f t="shared" si="62"/>
        <v>0</v>
      </c>
      <c r="I477" s="57">
        <f t="shared" si="63"/>
        <v>38.61</v>
      </c>
      <c r="J477" s="45" t="s">
        <v>575</v>
      </c>
      <c r="K477" s="45">
        <f t="shared" si="64"/>
        <v>100</v>
      </c>
      <c r="L477" s="34"/>
    </row>
    <row r="478" spans="1:12" s="1" customFormat="1" ht="124.8">
      <c r="A478" s="23" t="s">
        <v>70</v>
      </c>
      <c r="B478" s="23" t="s">
        <v>71</v>
      </c>
      <c r="C478" s="23" t="s">
        <v>147</v>
      </c>
      <c r="D478" s="54" t="s">
        <v>26</v>
      </c>
      <c r="E478" s="31">
        <f>E479+E490</f>
        <v>60894924.840000004</v>
      </c>
      <c r="F478" s="31">
        <f>F479+F490</f>
        <v>58266103.710000001</v>
      </c>
      <c r="G478" s="31">
        <f>G479+G490</f>
        <v>54449552.939999998</v>
      </c>
      <c r="H478" s="31">
        <f t="shared" si="62"/>
        <v>3816550.77</v>
      </c>
      <c r="I478" s="32">
        <f t="shared" si="63"/>
        <v>89.42</v>
      </c>
      <c r="J478" s="31"/>
      <c r="K478" s="31">
        <f t="shared" si="64"/>
        <v>93.45</v>
      </c>
      <c r="L478" s="45" t="s">
        <v>575</v>
      </c>
    </row>
    <row r="479" spans="1:12" s="1" customFormat="1" ht="46.8">
      <c r="A479" s="51" t="s">
        <v>328</v>
      </c>
      <c r="B479" s="54" t="s">
        <v>71</v>
      </c>
      <c r="C479" s="54" t="s">
        <v>5</v>
      </c>
      <c r="D479" s="54" t="s">
        <v>26</v>
      </c>
      <c r="E479" s="31">
        <f>E480</f>
        <v>19410051.969999999</v>
      </c>
      <c r="F479" s="31">
        <f>F480</f>
        <v>14323664.710000001</v>
      </c>
      <c r="G479" s="31">
        <f>G480</f>
        <v>12098025.939999999</v>
      </c>
      <c r="H479" s="31">
        <f t="shared" si="62"/>
        <v>2225638.77</v>
      </c>
      <c r="I479" s="32">
        <f t="shared" si="63"/>
        <v>62.33</v>
      </c>
      <c r="J479" s="31"/>
      <c r="K479" s="31">
        <f t="shared" si="64"/>
        <v>84.46</v>
      </c>
      <c r="L479" s="34"/>
    </row>
    <row r="480" spans="1:12" s="1" customFormat="1" ht="124.8">
      <c r="A480" s="51" t="s">
        <v>23</v>
      </c>
      <c r="B480" s="23" t="s">
        <v>71</v>
      </c>
      <c r="C480" s="23" t="s">
        <v>329</v>
      </c>
      <c r="D480" s="54" t="s">
        <v>26</v>
      </c>
      <c r="E480" s="31">
        <f>E481+E486</f>
        <v>19410051.969999999</v>
      </c>
      <c r="F480" s="31">
        <f t="shared" ref="F480:G480" si="69">F481+F486</f>
        <v>14323664.710000001</v>
      </c>
      <c r="G480" s="31">
        <f t="shared" si="69"/>
        <v>12098025.939999999</v>
      </c>
      <c r="H480" s="31">
        <f t="shared" si="62"/>
        <v>2225638.77</v>
      </c>
      <c r="I480" s="32">
        <f t="shared" si="63"/>
        <v>62.33</v>
      </c>
      <c r="J480" s="31"/>
      <c r="K480" s="31">
        <f t="shared" si="64"/>
        <v>84.46</v>
      </c>
      <c r="L480" s="45" t="s">
        <v>575</v>
      </c>
    </row>
    <row r="481" spans="1:12" s="1" customFormat="1" ht="46.8">
      <c r="A481" s="24" t="s">
        <v>373</v>
      </c>
      <c r="B481" s="23" t="s">
        <v>71</v>
      </c>
      <c r="C481" s="23" t="s">
        <v>330</v>
      </c>
      <c r="D481" s="23" t="s">
        <v>26</v>
      </c>
      <c r="E481" s="34">
        <f>E482</f>
        <v>13962739.970000001</v>
      </c>
      <c r="F481" s="34">
        <f>F482</f>
        <v>10774867.710000001</v>
      </c>
      <c r="G481" s="34">
        <f>G482</f>
        <v>8549228.9399999995</v>
      </c>
      <c r="H481" s="34">
        <f t="shared" si="62"/>
        <v>2225638.77</v>
      </c>
      <c r="I481" s="35">
        <f t="shared" si="63"/>
        <v>61.23</v>
      </c>
      <c r="J481" s="34"/>
      <c r="K481" s="34">
        <f t="shared" si="64"/>
        <v>79.34</v>
      </c>
      <c r="L481" s="34"/>
    </row>
    <row r="482" spans="1:12" s="1" customFormat="1" ht="93.6">
      <c r="A482" s="51" t="s">
        <v>231</v>
      </c>
      <c r="B482" s="33" t="s">
        <v>71</v>
      </c>
      <c r="C482" s="33" t="s">
        <v>479</v>
      </c>
      <c r="D482" s="80" t="s">
        <v>26</v>
      </c>
      <c r="E482" s="34">
        <f>E483+E484+E485</f>
        <v>13962739.970000001</v>
      </c>
      <c r="F482" s="34">
        <f>F483+F484+F485</f>
        <v>10774867.710000001</v>
      </c>
      <c r="G482" s="34">
        <f>G483+G484+G485</f>
        <v>8549228.9399999995</v>
      </c>
      <c r="H482" s="34">
        <f t="shared" si="62"/>
        <v>2225638.77</v>
      </c>
      <c r="I482" s="35">
        <f t="shared" si="63"/>
        <v>61.23</v>
      </c>
      <c r="J482" s="34"/>
      <c r="K482" s="34">
        <f t="shared" si="64"/>
        <v>79.34</v>
      </c>
      <c r="L482" s="31"/>
    </row>
    <row r="483" spans="1:12" s="1" customFormat="1" ht="31.2">
      <c r="A483" s="58" t="s">
        <v>118</v>
      </c>
      <c r="B483" s="33" t="s">
        <v>71</v>
      </c>
      <c r="C483" s="33" t="s">
        <v>479</v>
      </c>
      <c r="D483" s="80" t="s">
        <v>119</v>
      </c>
      <c r="E483" s="34">
        <f>160000</f>
        <v>160000</v>
      </c>
      <c r="F483" s="34">
        <f>160000-4722.05</f>
        <v>155277.95000000001</v>
      </c>
      <c r="G483" s="34">
        <f>160000-4722.05</f>
        <v>155277.95000000001</v>
      </c>
      <c r="H483" s="34">
        <f t="shared" si="62"/>
        <v>0</v>
      </c>
      <c r="I483" s="35">
        <f t="shared" si="63"/>
        <v>97.05</v>
      </c>
      <c r="J483" s="34"/>
      <c r="K483" s="34">
        <f t="shared" si="64"/>
        <v>100</v>
      </c>
      <c r="L483" s="31"/>
    </row>
    <row r="484" spans="1:12" s="1" customFormat="1" ht="124.8">
      <c r="A484" s="51" t="s">
        <v>127</v>
      </c>
      <c r="B484" s="33" t="s">
        <v>71</v>
      </c>
      <c r="C484" s="33" t="s">
        <v>479</v>
      </c>
      <c r="D484" s="80" t="s">
        <v>128</v>
      </c>
      <c r="E484" s="73">
        <f>9756747.17</f>
        <v>9756747.1699999999</v>
      </c>
      <c r="F484" s="73">
        <f>9756747.17-190076.51</f>
        <v>9566670.6600000001</v>
      </c>
      <c r="G484" s="73">
        <v>7369988.8399999999</v>
      </c>
      <c r="H484" s="73">
        <f t="shared" si="62"/>
        <v>2196681.8199999998</v>
      </c>
      <c r="I484" s="74">
        <f t="shared" si="63"/>
        <v>75.540000000000006</v>
      </c>
      <c r="J484" s="45" t="s">
        <v>575</v>
      </c>
      <c r="K484" s="34">
        <f t="shared" si="64"/>
        <v>77.040000000000006</v>
      </c>
      <c r="L484" s="45"/>
    </row>
    <row r="485" spans="1:12" s="1" customFormat="1" ht="124.8">
      <c r="A485" s="51" t="s">
        <v>127</v>
      </c>
      <c r="B485" s="33" t="s">
        <v>71</v>
      </c>
      <c r="C485" s="33" t="s">
        <v>479</v>
      </c>
      <c r="D485" s="80" t="s">
        <v>130</v>
      </c>
      <c r="E485" s="34">
        <f>4045992.8</f>
        <v>4045992.8</v>
      </c>
      <c r="F485" s="34">
        <f>4045992.8-2993073.7</f>
        <v>1052919.1000000001</v>
      </c>
      <c r="G485" s="34">
        <v>1023962.15</v>
      </c>
      <c r="H485" s="34">
        <f t="shared" si="62"/>
        <v>28956.95</v>
      </c>
      <c r="I485" s="35">
        <f t="shared" si="63"/>
        <v>25.31</v>
      </c>
      <c r="J485" s="45" t="s">
        <v>575</v>
      </c>
      <c r="K485" s="34">
        <f t="shared" si="64"/>
        <v>97.25</v>
      </c>
      <c r="L485" s="34"/>
    </row>
    <row r="486" spans="1:12" s="1" customFormat="1" ht="31.2">
      <c r="A486" s="24" t="s">
        <v>331</v>
      </c>
      <c r="B486" s="23" t="s">
        <v>71</v>
      </c>
      <c r="C486" s="23" t="s">
        <v>374</v>
      </c>
      <c r="D486" s="54" t="s">
        <v>26</v>
      </c>
      <c r="E486" s="31">
        <f>E487</f>
        <v>5447312</v>
      </c>
      <c r="F486" s="31">
        <f>F487</f>
        <v>3548797</v>
      </c>
      <c r="G486" s="31">
        <f>G487</f>
        <v>3548797</v>
      </c>
      <c r="H486" s="31">
        <f t="shared" si="62"/>
        <v>0</v>
      </c>
      <c r="I486" s="32">
        <f t="shared" si="63"/>
        <v>65.150000000000006</v>
      </c>
      <c r="J486" s="31"/>
      <c r="K486" s="31">
        <f t="shared" si="64"/>
        <v>100</v>
      </c>
      <c r="L486" s="31"/>
    </row>
    <row r="487" spans="1:12" s="1" customFormat="1" ht="78">
      <c r="A487" s="75" t="s">
        <v>24</v>
      </c>
      <c r="B487" s="23" t="s">
        <v>71</v>
      </c>
      <c r="C487" s="23" t="s">
        <v>375</v>
      </c>
      <c r="D487" s="54" t="s">
        <v>26</v>
      </c>
      <c r="E487" s="31">
        <f>E488+E489</f>
        <v>5447312</v>
      </c>
      <c r="F487" s="31">
        <f>F488+F489</f>
        <v>3548797</v>
      </c>
      <c r="G487" s="31">
        <f>G488+G489</f>
        <v>3548797</v>
      </c>
      <c r="H487" s="31">
        <f t="shared" si="62"/>
        <v>0</v>
      </c>
      <c r="I487" s="32">
        <f t="shared" si="63"/>
        <v>65.150000000000006</v>
      </c>
      <c r="J487" s="31"/>
      <c r="K487" s="31">
        <f t="shared" si="64"/>
        <v>100</v>
      </c>
      <c r="L487" s="34"/>
    </row>
    <row r="488" spans="1:12" s="1" customFormat="1" ht="124.8">
      <c r="A488" s="36" t="s">
        <v>118</v>
      </c>
      <c r="B488" s="23" t="s">
        <v>71</v>
      </c>
      <c r="C488" s="23" t="s">
        <v>375</v>
      </c>
      <c r="D488" s="54" t="s">
        <v>119</v>
      </c>
      <c r="E488" s="31">
        <f>40000</f>
        <v>40000</v>
      </c>
      <c r="F488" s="31">
        <v>34526.06</v>
      </c>
      <c r="G488" s="31">
        <v>34526.06</v>
      </c>
      <c r="H488" s="31">
        <f t="shared" si="62"/>
        <v>0</v>
      </c>
      <c r="I488" s="32">
        <f t="shared" si="63"/>
        <v>86.32</v>
      </c>
      <c r="J488" s="42" t="s">
        <v>575</v>
      </c>
      <c r="K488" s="31">
        <f t="shared" si="64"/>
        <v>100</v>
      </c>
      <c r="L488" s="31"/>
    </row>
    <row r="489" spans="1:12" s="1" customFormat="1" ht="124.8">
      <c r="A489" s="24" t="s">
        <v>194</v>
      </c>
      <c r="B489" s="23" t="s">
        <v>71</v>
      </c>
      <c r="C489" s="23" t="s">
        <v>375</v>
      </c>
      <c r="D489" s="54" t="s">
        <v>130</v>
      </c>
      <c r="E489" s="42">
        <f>5407312</f>
        <v>5407312</v>
      </c>
      <c r="F489" s="42">
        <v>3514270.94</v>
      </c>
      <c r="G489" s="42">
        <v>3514270.94</v>
      </c>
      <c r="H489" s="42">
        <f t="shared" si="62"/>
        <v>0</v>
      </c>
      <c r="I489" s="44">
        <f t="shared" si="63"/>
        <v>64.989999999999995</v>
      </c>
      <c r="J489" s="42" t="s">
        <v>575</v>
      </c>
      <c r="K489" s="42">
        <f t="shared" si="64"/>
        <v>100</v>
      </c>
      <c r="L489" s="34"/>
    </row>
    <row r="490" spans="1:12" s="1" customFormat="1" ht="62.4">
      <c r="A490" s="51" t="s">
        <v>376</v>
      </c>
      <c r="B490" s="23" t="s">
        <v>71</v>
      </c>
      <c r="C490" s="23" t="s">
        <v>168</v>
      </c>
      <c r="D490" s="23" t="s">
        <v>26</v>
      </c>
      <c r="E490" s="31">
        <f>E491+E497</f>
        <v>41484872.869999997</v>
      </c>
      <c r="F490" s="31">
        <f>F491+F497</f>
        <v>43942439</v>
      </c>
      <c r="G490" s="31">
        <f>G491+G497</f>
        <v>42351527</v>
      </c>
      <c r="H490" s="31">
        <f t="shared" si="62"/>
        <v>1590912</v>
      </c>
      <c r="I490" s="32">
        <f t="shared" si="63"/>
        <v>102.09</v>
      </c>
      <c r="J490" s="31"/>
      <c r="K490" s="31">
        <f t="shared" si="64"/>
        <v>96.38</v>
      </c>
      <c r="L490" s="34"/>
    </row>
    <row r="491" spans="1:12" s="1" customFormat="1" ht="31.2">
      <c r="A491" s="51" t="s">
        <v>377</v>
      </c>
      <c r="B491" s="23" t="s">
        <v>71</v>
      </c>
      <c r="C491" s="23" t="s">
        <v>6</v>
      </c>
      <c r="D491" s="23" t="s">
        <v>26</v>
      </c>
      <c r="E491" s="31">
        <f>E492</f>
        <v>6366471.4699999997</v>
      </c>
      <c r="F491" s="31">
        <f>F492</f>
        <v>7679975</v>
      </c>
      <c r="G491" s="31">
        <f>G492</f>
        <v>7679975</v>
      </c>
      <c r="H491" s="31">
        <f t="shared" si="62"/>
        <v>0</v>
      </c>
      <c r="I491" s="32">
        <f t="shared" si="63"/>
        <v>120.63</v>
      </c>
      <c r="J491" s="31"/>
      <c r="K491" s="31">
        <f t="shared" si="64"/>
        <v>100</v>
      </c>
      <c r="L491" s="34"/>
    </row>
    <row r="492" spans="1:12" s="1" customFormat="1" ht="46.8">
      <c r="A492" s="108" t="s">
        <v>471</v>
      </c>
      <c r="B492" s="23" t="s">
        <v>71</v>
      </c>
      <c r="C492" s="23" t="s">
        <v>378</v>
      </c>
      <c r="D492" s="23" t="s">
        <v>26</v>
      </c>
      <c r="E492" s="31">
        <f>E493+E495</f>
        <v>6366471.4699999997</v>
      </c>
      <c r="F492" s="31">
        <f>F493+F495</f>
        <v>7679975</v>
      </c>
      <c r="G492" s="31">
        <f>G493+G495</f>
        <v>7679975</v>
      </c>
      <c r="H492" s="31">
        <f t="shared" si="62"/>
        <v>0</v>
      </c>
      <c r="I492" s="32">
        <f t="shared" si="63"/>
        <v>120.63</v>
      </c>
      <c r="J492" s="31"/>
      <c r="K492" s="31">
        <f t="shared" si="64"/>
        <v>100</v>
      </c>
      <c r="L492" s="34"/>
    </row>
    <row r="493" spans="1:12" s="1" customFormat="1" ht="62.4">
      <c r="A493" s="51" t="s">
        <v>252</v>
      </c>
      <c r="B493" s="23" t="s">
        <v>71</v>
      </c>
      <c r="C493" s="23" t="s">
        <v>186</v>
      </c>
      <c r="D493" s="23" t="s">
        <v>26</v>
      </c>
      <c r="E493" s="31">
        <f>E494</f>
        <v>4715904.79</v>
      </c>
      <c r="F493" s="31">
        <f>F494</f>
        <v>6029408.3200000003</v>
      </c>
      <c r="G493" s="31">
        <f>G494</f>
        <v>6029408.3200000003</v>
      </c>
      <c r="H493" s="31">
        <f t="shared" si="62"/>
        <v>0</v>
      </c>
      <c r="I493" s="32">
        <f t="shared" si="63"/>
        <v>127.85</v>
      </c>
      <c r="J493" s="31"/>
      <c r="K493" s="31">
        <f t="shared" si="64"/>
        <v>100</v>
      </c>
      <c r="L493" s="34"/>
    </row>
    <row r="494" spans="1:12" s="1" customFormat="1" ht="124.8">
      <c r="A494" s="24" t="s">
        <v>129</v>
      </c>
      <c r="B494" s="23" t="s">
        <v>71</v>
      </c>
      <c r="C494" s="23" t="s">
        <v>186</v>
      </c>
      <c r="D494" s="23" t="s">
        <v>130</v>
      </c>
      <c r="E494" s="42">
        <f>4715904.79</f>
        <v>4715904.79</v>
      </c>
      <c r="F494" s="42">
        <f>4715904.79+1313503.53</f>
        <v>6029408.3200000003</v>
      </c>
      <c r="G494" s="42">
        <f>4715904.79+1313503.53</f>
        <v>6029408.3200000003</v>
      </c>
      <c r="H494" s="42">
        <f t="shared" si="62"/>
        <v>0</v>
      </c>
      <c r="I494" s="44">
        <f t="shared" si="63"/>
        <v>127.85</v>
      </c>
      <c r="J494" s="42" t="s">
        <v>575</v>
      </c>
      <c r="K494" s="42">
        <f t="shared" si="64"/>
        <v>100</v>
      </c>
      <c r="L494" s="34"/>
    </row>
    <row r="495" spans="1:12" s="1" customFormat="1" ht="46.8">
      <c r="A495" s="24" t="s">
        <v>253</v>
      </c>
      <c r="B495" s="23" t="s">
        <v>71</v>
      </c>
      <c r="C495" s="23" t="s">
        <v>186</v>
      </c>
      <c r="D495" s="23" t="s">
        <v>26</v>
      </c>
      <c r="E495" s="34">
        <f>E496</f>
        <v>1650566.68</v>
      </c>
      <c r="F495" s="34">
        <f>F496</f>
        <v>1650566.68</v>
      </c>
      <c r="G495" s="34">
        <f>G496</f>
        <v>1650566.68</v>
      </c>
      <c r="H495" s="34">
        <f t="shared" si="62"/>
        <v>0</v>
      </c>
      <c r="I495" s="35">
        <f t="shared" si="63"/>
        <v>100</v>
      </c>
      <c r="J495" s="34"/>
      <c r="K495" s="34">
        <f t="shared" si="64"/>
        <v>100</v>
      </c>
      <c r="L495" s="31"/>
    </row>
    <row r="496" spans="1:12" s="1" customFormat="1" ht="31.2">
      <c r="A496" s="24" t="s">
        <v>129</v>
      </c>
      <c r="B496" s="23" t="s">
        <v>71</v>
      </c>
      <c r="C496" s="23" t="s">
        <v>186</v>
      </c>
      <c r="D496" s="23" t="s">
        <v>130</v>
      </c>
      <c r="E496" s="34">
        <v>1650566.68</v>
      </c>
      <c r="F496" s="34">
        <v>1650566.68</v>
      </c>
      <c r="G496" s="34">
        <v>1650566.68</v>
      </c>
      <c r="H496" s="34">
        <f t="shared" si="62"/>
        <v>0</v>
      </c>
      <c r="I496" s="35">
        <f t="shared" si="63"/>
        <v>100</v>
      </c>
      <c r="J496" s="34"/>
      <c r="K496" s="34">
        <f t="shared" si="64"/>
        <v>100</v>
      </c>
      <c r="L496" s="31"/>
    </row>
    <row r="497" spans="1:12" s="1" customFormat="1" ht="62.4">
      <c r="A497" s="51" t="s">
        <v>379</v>
      </c>
      <c r="B497" s="23" t="s">
        <v>71</v>
      </c>
      <c r="C497" s="23" t="s">
        <v>202</v>
      </c>
      <c r="D497" s="23" t="s">
        <v>26</v>
      </c>
      <c r="E497" s="31">
        <f>E498</f>
        <v>35118401.399999999</v>
      </c>
      <c r="F497" s="31">
        <f>F498</f>
        <v>36262464</v>
      </c>
      <c r="G497" s="31">
        <f>G498</f>
        <v>34671552</v>
      </c>
      <c r="H497" s="31">
        <f t="shared" si="62"/>
        <v>1590912</v>
      </c>
      <c r="I497" s="32">
        <f t="shared" si="63"/>
        <v>98.73</v>
      </c>
      <c r="J497" s="31"/>
      <c r="K497" s="31">
        <f t="shared" si="64"/>
        <v>95.61</v>
      </c>
      <c r="L497" s="34"/>
    </row>
    <row r="498" spans="1:12" s="1" customFormat="1" ht="78">
      <c r="A498" s="51" t="s">
        <v>200</v>
      </c>
      <c r="B498" s="23" t="s">
        <v>71</v>
      </c>
      <c r="C498" s="23" t="s">
        <v>203</v>
      </c>
      <c r="D498" s="23" t="s">
        <v>26</v>
      </c>
      <c r="E498" s="31">
        <f>E499+E501</f>
        <v>35118401.399999999</v>
      </c>
      <c r="F498" s="31">
        <f>F499+F501</f>
        <v>36262464</v>
      </c>
      <c r="G498" s="31">
        <f>G499+G501</f>
        <v>34671552</v>
      </c>
      <c r="H498" s="31">
        <f t="shared" si="62"/>
        <v>1590912</v>
      </c>
      <c r="I498" s="32">
        <f t="shared" si="63"/>
        <v>98.73</v>
      </c>
      <c r="J498" s="31"/>
      <c r="K498" s="31">
        <f t="shared" si="64"/>
        <v>95.61</v>
      </c>
      <c r="L498" s="34"/>
    </row>
    <row r="499" spans="1:12" s="1" customFormat="1" ht="62.4">
      <c r="A499" s="51" t="s">
        <v>220</v>
      </c>
      <c r="B499" s="23" t="s">
        <v>71</v>
      </c>
      <c r="C499" s="53" t="s">
        <v>238</v>
      </c>
      <c r="D499" s="23" t="s">
        <v>26</v>
      </c>
      <c r="E499" s="34">
        <f>E500</f>
        <v>13621230</v>
      </c>
      <c r="F499" s="34">
        <f>F500</f>
        <v>12195264</v>
      </c>
      <c r="G499" s="34">
        <f>G500</f>
        <v>12195264</v>
      </c>
      <c r="H499" s="34">
        <f t="shared" si="62"/>
        <v>0</v>
      </c>
      <c r="I499" s="35">
        <f t="shared" si="63"/>
        <v>89.53</v>
      </c>
      <c r="J499" s="34"/>
      <c r="K499" s="34">
        <f t="shared" si="64"/>
        <v>100</v>
      </c>
      <c r="L499" s="31"/>
    </row>
    <row r="500" spans="1:12" s="1" customFormat="1" ht="124.8">
      <c r="A500" s="23" t="s">
        <v>125</v>
      </c>
      <c r="B500" s="23" t="s">
        <v>71</v>
      </c>
      <c r="C500" s="53" t="s">
        <v>238</v>
      </c>
      <c r="D500" s="23" t="s">
        <v>126</v>
      </c>
      <c r="E500" s="34">
        <f>13621230</f>
        <v>13621230</v>
      </c>
      <c r="F500" s="34">
        <f>13621230-70830-1355136</f>
        <v>12195264</v>
      </c>
      <c r="G500" s="34">
        <f>13621230-70830-1355136</f>
        <v>12195264</v>
      </c>
      <c r="H500" s="34">
        <f t="shared" si="62"/>
        <v>0</v>
      </c>
      <c r="I500" s="35">
        <f t="shared" si="63"/>
        <v>89.53</v>
      </c>
      <c r="J500" s="45" t="s">
        <v>575</v>
      </c>
      <c r="K500" s="34">
        <f t="shared" si="64"/>
        <v>100</v>
      </c>
      <c r="L500" s="31"/>
    </row>
    <row r="501" spans="1:12" s="1" customFormat="1" ht="62.4">
      <c r="A501" s="51" t="s">
        <v>201</v>
      </c>
      <c r="B501" s="23" t="s">
        <v>71</v>
      </c>
      <c r="C501" s="53" t="s">
        <v>526</v>
      </c>
      <c r="D501" s="23" t="s">
        <v>26</v>
      </c>
      <c r="E501" s="73">
        <f>E502</f>
        <v>21497171.399999999</v>
      </c>
      <c r="F501" s="73">
        <f>F502</f>
        <v>24067200</v>
      </c>
      <c r="G501" s="73">
        <f>G502</f>
        <v>22476288</v>
      </c>
      <c r="H501" s="73">
        <f t="shared" si="62"/>
        <v>1590912</v>
      </c>
      <c r="I501" s="74">
        <f t="shared" si="63"/>
        <v>104.55</v>
      </c>
      <c r="J501" s="34"/>
      <c r="K501" s="34">
        <f t="shared" si="64"/>
        <v>93.39</v>
      </c>
      <c r="L501" s="45"/>
    </row>
    <row r="502" spans="1:12" s="1" customFormat="1" ht="15.6">
      <c r="A502" s="23" t="s">
        <v>125</v>
      </c>
      <c r="B502" s="23" t="s">
        <v>71</v>
      </c>
      <c r="C502" s="53" t="s">
        <v>526</v>
      </c>
      <c r="D502" s="23" t="s">
        <v>126</v>
      </c>
      <c r="E502" s="34">
        <v>21497171.399999999</v>
      </c>
      <c r="F502" s="34">
        <f>20648704.2-2581504.2+6000000</f>
        <v>24067200</v>
      </c>
      <c r="G502" s="34">
        <v>22476288</v>
      </c>
      <c r="H502" s="34">
        <f t="shared" si="62"/>
        <v>1590912</v>
      </c>
      <c r="I502" s="35">
        <f t="shared" si="63"/>
        <v>104.55</v>
      </c>
      <c r="J502" s="34"/>
      <c r="K502" s="34">
        <f t="shared" si="64"/>
        <v>93.39</v>
      </c>
      <c r="L502" s="34"/>
    </row>
    <row r="503" spans="1:12" s="1" customFormat="1" ht="15.6">
      <c r="A503" s="24" t="s">
        <v>107</v>
      </c>
      <c r="B503" s="23" t="s">
        <v>108</v>
      </c>
      <c r="C503" s="23" t="s">
        <v>147</v>
      </c>
      <c r="D503" s="23" t="s">
        <v>26</v>
      </c>
      <c r="E503" s="31">
        <f>E504+E512+E522</f>
        <v>3105978.16</v>
      </c>
      <c r="F503" s="31">
        <f t="shared" ref="F503:G503" si="70">F504+F512+F522</f>
        <v>3275807.15</v>
      </c>
      <c r="G503" s="31">
        <f t="shared" si="70"/>
        <v>3189235.29</v>
      </c>
      <c r="H503" s="31">
        <f t="shared" si="62"/>
        <v>86571.86</v>
      </c>
      <c r="I503" s="32">
        <f t="shared" si="63"/>
        <v>102.68</v>
      </c>
      <c r="J503" s="31"/>
      <c r="K503" s="31">
        <f t="shared" si="64"/>
        <v>97.36</v>
      </c>
      <c r="L503" s="34"/>
    </row>
    <row r="504" spans="1:12" s="1" customFormat="1" ht="46.8">
      <c r="A504" s="24" t="s">
        <v>495</v>
      </c>
      <c r="B504" s="23" t="s">
        <v>108</v>
      </c>
      <c r="C504" s="23" t="s">
        <v>0</v>
      </c>
      <c r="D504" s="23" t="s">
        <v>26</v>
      </c>
      <c r="E504" s="31">
        <f>E505</f>
        <v>861000</v>
      </c>
      <c r="F504" s="31">
        <f t="shared" ref="F504:G504" si="71">F505</f>
        <v>206000</v>
      </c>
      <c r="G504" s="31">
        <f t="shared" si="71"/>
        <v>181497.14</v>
      </c>
      <c r="H504" s="31">
        <f t="shared" si="62"/>
        <v>24502.86</v>
      </c>
      <c r="I504" s="32">
        <f t="shared" si="63"/>
        <v>21.08</v>
      </c>
      <c r="J504" s="31"/>
      <c r="K504" s="31">
        <f t="shared" si="64"/>
        <v>88.11</v>
      </c>
      <c r="L504" s="31"/>
    </row>
    <row r="505" spans="1:12" s="1" customFormat="1" ht="31.2">
      <c r="A505" s="24" t="s">
        <v>323</v>
      </c>
      <c r="B505" s="23" t="s">
        <v>108</v>
      </c>
      <c r="C505" s="23" t="s">
        <v>21</v>
      </c>
      <c r="D505" s="54" t="s">
        <v>26</v>
      </c>
      <c r="E505" s="31">
        <f>E506</f>
        <v>861000</v>
      </c>
      <c r="F505" s="31">
        <f>F506</f>
        <v>206000</v>
      </c>
      <c r="G505" s="31">
        <f>G506</f>
        <v>181497.14</v>
      </c>
      <c r="H505" s="31">
        <f t="shared" si="62"/>
        <v>24502.86</v>
      </c>
      <c r="I505" s="32">
        <f t="shared" si="63"/>
        <v>21.08</v>
      </c>
      <c r="J505" s="31"/>
      <c r="K505" s="31">
        <f t="shared" si="64"/>
        <v>88.11</v>
      </c>
      <c r="L505" s="31"/>
    </row>
    <row r="506" spans="1:12" s="1" customFormat="1" ht="46.8">
      <c r="A506" s="51" t="s">
        <v>327</v>
      </c>
      <c r="B506" s="33" t="s">
        <v>108</v>
      </c>
      <c r="C506" s="33" t="s">
        <v>326</v>
      </c>
      <c r="D506" s="33" t="s">
        <v>26</v>
      </c>
      <c r="E506" s="34">
        <f>E507+E509</f>
        <v>861000</v>
      </c>
      <c r="F506" s="34">
        <f>F507+F509</f>
        <v>206000</v>
      </c>
      <c r="G506" s="34">
        <f>G507+G509</f>
        <v>181497.14</v>
      </c>
      <c r="H506" s="34">
        <f t="shared" si="62"/>
        <v>24502.86</v>
      </c>
      <c r="I506" s="35">
        <f t="shared" si="63"/>
        <v>21.08</v>
      </c>
      <c r="J506" s="34"/>
      <c r="K506" s="34">
        <f t="shared" si="64"/>
        <v>88.11</v>
      </c>
      <c r="L506" s="31"/>
    </row>
    <row r="507" spans="1:12" s="1" customFormat="1" ht="46.8">
      <c r="A507" s="24" t="s">
        <v>419</v>
      </c>
      <c r="B507" s="23" t="s">
        <v>108</v>
      </c>
      <c r="C507" s="23" t="s">
        <v>418</v>
      </c>
      <c r="D507" s="23" t="s">
        <v>26</v>
      </c>
      <c r="E507" s="34">
        <f>E508</f>
        <v>765000</v>
      </c>
      <c r="F507" s="34">
        <f>F508</f>
        <v>110000</v>
      </c>
      <c r="G507" s="34">
        <f>G508</f>
        <v>110000</v>
      </c>
      <c r="H507" s="34">
        <f t="shared" si="62"/>
        <v>0</v>
      </c>
      <c r="I507" s="35">
        <f t="shared" si="63"/>
        <v>14.38</v>
      </c>
      <c r="J507" s="34"/>
      <c r="K507" s="34">
        <f t="shared" si="64"/>
        <v>100</v>
      </c>
      <c r="L507" s="31"/>
    </row>
    <row r="508" spans="1:12" s="1" customFormat="1" ht="31.2">
      <c r="A508" s="24" t="s">
        <v>194</v>
      </c>
      <c r="B508" s="23" t="s">
        <v>108</v>
      </c>
      <c r="C508" s="23" t="s">
        <v>418</v>
      </c>
      <c r="D508" s="23" t="s">
        <v>130</v>
      </c>
      <c r="E508" s="34">
        <f>765000</f>
        <v>765000</v>
      </c>
      <c r="F508" s="34">
        <f>765000-655000</f>
        <v>110000</v>
      </c>
      <c r="G508" s="34">
        <f>765000-655000</f>
        <v>110000</v>
      </c>
      <c r="H508" s="34">
        <f t="shared" si="62"/>
        <v>0</v>
      </c>
      <c r="I508" s="35">
        <f t="shared" si="63"/>
        <v>14.38</v>
      </c>
      <c r="J508" s="34"/>
      <c r="K508" s="34">
        <f t="shared" si="64"/>
        <v>100</v>
      </c>
      <c r="L508" s="31"/>
    </row>
    <row r="509" spans="1:12" s="1" customFormat="1" ht="15.6">
      <c r="A509" s="24" t="s">
        <v>207</v>
      </c>
      <c r="B509" s="23" t="s">
        <v>108</v>
      </c>
      <c r="C509" s="23" t="s">
        <v>332</v>
      </c>
      <c r="D509" s="23" t="s">
        <v>26</v>
      </c>
      <c r="E509" s="34">
        <f>E510+E511</f>
        <v>96000</v>
      </c>
      <c r="F509" s="34">
        <f>F510+F511</f>
        <v>96000</v>
      </c>
      <c r="G509" s="34">
        <f>G510+G511</f>
        <v>71497.14</v>
      </c>
      <c r="H509" s="34">
        <f t="shared" si="62"/>
        <v>24502.86</v>
      </c>
      <c r="I509" s="35">
        <f t="shared" si="63"/>
        <v>74.48</v>
      </c>
      <c r="J509" s="34"/>
      <c r="K509" s="34">
        <f t="shared" si="64"/>
        <v>74.48</v>
      </c>
      <c r="L509" s="31"/>
    </row>
    <row r="510" spans="1:12" s="1" customFormat="1" ht="31.2">
      <c r="A510" s="24" t="s">
        <v>194</v>
      </c>
      <c r="B510" s="23" t="s">
        <v>108</v>
      </c>
      <c r="C510" s="23" t="s">
        <v>332</v>
      </c>
      <c r="D510" s="23" t="s">
        <v>130</v>
      </c>
      <c r="E510" s="34">
        <f>96000</f>
        <v>96000</v>
      </c>
      <c r="F510" s="34">
        <f>96000-48000</f>
        <v>48000</v>
      </c>
      <c r="G510" s="34">
        <f>96000-48000</f>
        <v>48000</v>
      </c>
      <c r="H510" s="34">
        <f t="shared" si="62"/>
        <v>0</v>
      </c>
      <c r="I510" s="35">
        <f t="shared" si="63"/>
        <v>50</v>
      </c>
      <c r="J510" s="34"/>
      <c r="K510" s="34">
        <f t="shared" si="64"/>
        <v>100</v>
      </c>
      <c r="L510" s="42"/>
    </row>
    <row r="511" spans="1:12" s="1" customFormat="1" ht="15.6">
      <c r="A511" s="24" t="s">
        <v>545</v>
      </c>
      <c r="B511" s="23" t="s">
        <v>108</v>
      </c>
      <c r="C511" s="23" t="s">
        <v>332</v>
      </c>
      <c r="D511" s="23" t="s">
        <v>568</v>
      </c>
      <c r="E511" s="34">
        <v>0</v>
      </c>
      <c r="F511" s="34">
        <f>96000-48000</f>
        <v>48000</v>
      </c>
      <c r="G511" s="34">
        <v>23497.14</v>
      </c>
      <c r="H511" s="34">
        <f t="shared" si="62"/>
        <v>24502.86</v>
      </c>
      <c r="I511" s="35" t="e">
        <f t="shared" si="63"/>
        <v>#DIV/0!</v>
      </c>
      <c r="J511" s="34"/>
      <c r="K511" s="34">
        <f t="shared" si="64"/>
        <v>48.95</v>
      </c>
      <c r="L511" s="34"/>
    </row>
    <row r="512" spans="1:12" s="1" customFormat="1" ht="46.8">
      <c r="A512" s="51" t="s">
        <v>328</v>
      </c>
      <c r="B512" s="54" t="s">
        <v>108</v>
      </c>
      <c r="C512" s="54" t="s">
        <v>5</v>
      </c>
      <c r="D512" s="54" t="s">
        <v>26</v>
      </c>
      <c r="E512" s="31">
        <f>E513</f>
        <v>1000000</v>
      </c>
      <c r="F512" s="31">
        <f>F513</f>
        <v>1037112.08</v>
      </c>
      <c r="G512" s="31">
        <f>G513</f>
        <v>975043.08</v>
      </c>
      <c r="H512" s="31">
        <f t="shared" si="62"/>
        <v>62069</v>
      </c>
      <c r="I512" s="32">
        <f t="shared" si="63"/>
        <v>97.5</v>
      </c>
      <c r="J512" s="31"/>
      <c r="K512" s="31">
        <f t="shared" si="64"/>
        <v>94.02</v>
      </c>
      <c r="L512" s="34"/>
    </row>
    <row r="513" spans="1:12" s="1" customFormat="1" ht="15.6">
      <c r="A513" s="51" t="s">
        <v>7</v>
      </c>
      <c r="B513" s="23" t="s">
        <v>108</v>
      </c>
      <c r="C513" s="23" t="s">
        <v>380</v>
      </c>
      <c r="D513" s="23" t="s">
        <v>26</v>
      </c>
      <c r="E513" s="34">
        <f>E514+E519</f>
        <v>1000000</v>
      </c>
      <c r="F513" s="34">
        <f>F514+F519</f>
        <v>1037112.08</v>
      </c>
      <c r="G513" s="34">
        <f>G514+G519</f>
        <v>975043.08</v>
      </c>
      <c r="H513" s="34">
        <f t="shared" si="62"/>
        <v>62069</v>
      </c>
      <c r="I513" s="35">
        <f t="shared" si="63"/>
        <v>97.5</v>
      </c>
      <c r="J513" s="34"/>
      <c r="K513" s="34">
        <f t="shared" si="64"/>
        <v>94.02</v>
      </c>
      <c r="L513" s="34"/>
    </row>
    <row r="514" spans="1:12" s="1" customFormat="1" ht="78">
      <c r="A514" s="89" t="s">
        <v>381</v>
      </c>
      <c r="B514" s="23" t="s">
        <v>108</v>
      </c>
      <c r="C514" s="53" t="s">
        <v>480</v>
      </c>
      <c r="D514" s="23" t="s">
        <v>26</v>
      </c>
      <c r="E514" s="34">
        <f>E517+E515</f>
        <v>950000</v>
      </c>
      <c r="F514" s="34">
        <f>F517+F515</f>
        <v>987112.08</v>
      </c>
      <c r="G514" s="34">
        <f>G517+G515</f>
        <v>925043.08</v>
      </c>
      <c r="H514" s="34">
        <f t="shared" si="62"/>
        <v>62069</v>
      </c>
      <c r="I514" s="35">
        <f t="shared" si="63"/>
        <v>97.37</v>
      </c>
      <c r="J514" s="34"/>
      <c r="K514" s="34">
        <f t="shared" si="64"/>
        <v>93.71</v>
      </c>
      <c r="L514" s="34"/>
    </row>
    <row r="515" spans="1:12" s="1" customFormat="1" ht="62.4">
      <c r="A515" s="52" t="s">
        <v>482</v>
      </c>
      <c r="B515" s="23" t="s">
        <v>108</v>
      </c>
      <c r="C515" s="53" t="s">
        <v>483</v>
      </c>
      <c r="D515" s="23" t="s">
        <v>26</v>
      </c>
      <c r="E515" s="34">
        <f>E516</f>
        <v>450000</v>
      </c>
      <c r="F515" s="34">
        <f>F516</f>
        <v>450000</v>
      </c>
      <c r="G515" s="34">
        <f>G516</f>
        <v>387931</v>
      </c>
      <c r="H515" s="34">
        <f t="shared" si="62"/>
        <v>62069</v>
      </c>
      <c r="I515" s="35">
        <f t="shared" si="63"/>
        <v>86.21</v>
      </c>
      <c r="J515" s="34"/>
      <c r="K515" s="34">
        <f t="shared" si="64"/>
        <v>86.21</v>
      </c>
      <c r="L515" s="34"/>
    </row>
    <row r="516" spans="1:12" s="1" customFormat="1" ht="31.2">
      <c r="A516" s="36" t="s">
        <v>118</v>
      </c>
      <c r="B516" s="23" t="s">
        <v>108</v>
      </c>
      <c r="C516" s="53" t="s">
        <v>483</v>
      </c>
      <c r="D516" s="23" t="s">
        <v>119</v>
      </c>
      <c r="E516" s="34">
        <v>450000</v>
      </c>
      <c r="F516" s="34">
        <v>450000</v>
      </c>
      <c r="G516" s="34">
        <v>387931</v>
      </c>
      <c r="H516" s="34">
        <f t="shared" si="62"/>
        <v>62069</v>
      </c>
      <c r="I516" s="35">
        <f t="shared" si="63"/>
        <v>86.21</v>
      </c>
      <c r="J516" s="34"/>
      <c r="K516" s="34">
        <f t="shared" si="64"/>
        <v>86.21</v>
      </c>
      <c r="L516" s="29"/>
    </row>
    <row r="517" spans="1:12" s="1" customFormat="1" ht="46.8">
      <c r="A517" s="52" t="s">
        <v>481</v>
      </c>
      <c r="B517" s="23" t="s">
        <v>108</v>
      </c>
      <c r="C517" s="53" t="s">
        <v>478</v>
      </c>
      <c r="D517" s="23" t="s">
        <v>26</v>
      </c>
      <c r="E517" s="34">
        <f>E518</f>
        <v>500000</v>
      </c>
      <c r="F517" s="34">
        <f>F518</f>
        <v>537112.07999999996</v>
      </c>
      <c r="G517" s="34">
        <f>G518</f>
        <v>537112.07999999996</v>
      </c>
      <c r="H517" s="34">
        <f t="shared" si="62"/>
        <v>0</v>
      </c>
      <c r="I517" s="35">
        <f t="shared" si="63"/>
        <v>107.42</v>
      </c>
      <c r="J517" s="34"/>
      <c r="K517" s="34">
        <f t="shared" si="64"/>
        <v>100</v>
      </c>
      <c r="L517" s="34"/>
    </row>
    <row r="518" spans="1:12" s="1" customFormat="1" ht="31.2">
      <c r="A518" s="36" t="s">
        <v>118</v>
      </c>
      <c r="B518" s="23" t="s">
        <v>108</v>
      </c>
      <c r="C518" s="53" t="s">
        <v>478</v>
      </c>
      <c r="D518" s="23" t="s">
        <v>119</v>
      </c>
      <c r="E518" s="34">
        <v>500000</v>
      </c>
      <c r="F518" s="34">
        <f>500000+37112.08</f>
        <v>537112.07999999996</v>
      </c>
      <c r="G518" s="34">
        <f>500000+37112.08</f>
        <v>537112.07999999996</v>
      </c>
      <c r="H518" s="34">
        <f t="shared" si="62"/>
        <v>0</v>
      </c>
      <c r="I518" s="35">
        <f t="shared" si="63"/>
        <v>107.42</v>
      </c>
      <c r="J518" s="34"/>
      <c r="K518" s="34">
        <f t="shared" si="64"/>
        <v>100</v>
      </c>
      <c r="L518" s="31"/>
    </row>
    <row r="519" spans="1:12" s="1" customFormat="1" ht="46.8">
      <c r="A519" s="52" t="s">
        <v>512</v>
      </c>
      <c r="B519" s="23" t="s">
        <v>108</v>
      </c>
      <c r="C519" s="53" t="s">
        <v>511</v>
      </c>
      <c r="D519" s="23" t="s">
        <v>26</v>
      </c>
      <c r="E519" s="34">
        <f t="shared" ref="E519:G520" si="72">E520</f>
        <v>50000</v>
      </c>
      <c r="F519" s="34">
        <f t="shared" si="72"/>
        <v>50000</v>
      </c>
      <c r="G519" s="34">
        <f t="shared" si="72"/>
        <v>50000</v>
      </c>
      <c r="H519" s="34">
        <f t="shared" si="62"/>
        <v>0</v>
      </c>
      <c r="I519" s="35">
        <f t="shared" si="63"/>
        <v>100</v>
      </c>
      <c r="J519" s="34"/>
      <c r="K519" s="34">
        <f t="shared" si="64"/>
        <v>100</v>
      </c>
      <c r="L519" s="31"/>
    </row>
    <row r="520" spans="1:12" s="1" customFormat="1" ht="31.2">
      <c r="A520" s="89" t="s">
        <v>514</v>
      </c>
      <c r="B520" s="23" t="s">
        <v>108</v>
      </c>
      <c r="C520" s="53" t="s">
        <v>513</v>
      </c>
      <c r="D520" s="23" t="s">
        <v>26</v>
      </c>
      <c r="E520" s="34">
        <f t="shared" si="72"/>
        <v>50000</v>
      </c>
      <c r="F520" s="34">
        <f t="shared" si="72"/>
        <v>50000</v>
      </c>
      <c r="G520" s="34">
        <f t="shared" si="72"/>
        <v>50000</v>
      </c>
      <c r="H520" s="34">
        <f t="shared" si="62"/>
        <v>0</v>
      </c>
      <c r="I520" s="35">
        <f t="shared" si="63"/>
        <v>100</v>
      </c>
      <c r="J520" s="34"/>
      <c r="K520" s="34">
        <f t="shared" si="64"/>
        <v>100</v>
      </c>
      <c r="L520" s="34"/>
    </row>
    <row r="521" spans="1:12" s="1" customFormat="1" ht="31.2" outlineLevel="5">
      <c r="A521" s="36" t="s">
        <v>118</v>
      </c>
      <c r="B521" s="23" t="s">
        <v>108</v>
      </c>
      <c r="C521" s="53" t="s">
        <v>513</v>
      </c>
      <c r="D521" s="23" t="s">
        <v>119</v>
      </c>
      <c r="E521" s="34">
        <v>50000</v>
      </c>
      <c r="F521" s="34">
        <v>50000</v>
      </c>
      <c r="G521" s="34">
        <v>50000</v>
      </c>
      <c r="H521" s="34">
        <f t="shared" ref="H521:H559" si="73">$F521-$G521</f>
        <v>0</v>
      </c>
      <c r="I521" s="35">
        <f t="shared" ref="I521:I559" si="74">$G521/$E521*100</f>
        <v>100</v>
      </c>
      <c r="J521" s="34"/>
      <c r="K521" s="34">
        <f t="shared" ref="K521:K559" si="75">$G521/$F521*100</f>
        <v>100</v>
      </c>
      <c r="L521" s="34"/>
    </row>
    <row r="522" spans="1:12" s="1" customFormat="1" ht="78" outlineLevel="5">
      <c r="A522" s="51" t="s">
        <v>382</v>
      </c>
      <c r="B522" s="23" t="s">
        <v>108</v>
      </c>
      <c r="C522" s="109" t="s">
        <v>168</v>
      </c>
      <c r="D522" s="23" t="s">
        <v>26</v>
      </c>
      <c r="E522" s="31">
        <f t="shared" ref="E522:G523" si="76">E523</f>
        <v>1244978.1599999999</v>
      </c>
      <c r="F522" s="31">
        <f t="shared" si="76"/>
        <v>2032695.07</v>
      </c>
      <c r="G522" s="31">
        <f t="shared" si="76"/>
        <v>2032695.07</v>
      </c>
      <c r="H522" s="31">
        <f t="shared" si="73"/>
        <v>0</v>
      </c>
      <c r="I522" s="32">
        <f t="shared" si="74"/>
        <v>163.27000000000001</v>
      </c>
      <c r="J522" s="31"/>
      <c r="K522" s="31">
        <f t="shared" si="75"/>
        <v>100</v>
      </c>
      <c r="L522" s="31"/>
    </row>
    <row r="523" spans="1:12" s="1" customFormat="1" ht="78" outlineLevel="5">
      <c r="A523" s="51" t="s">
        <v>200</v>
      </c>
      <c r="B523" s="23" t="s">
        <v>108</v>
      </c>
      <c r="C523" s="109" t="s">
        <v>202</v>
      </c>
      <c r="D523" s="23" t="s">
        <v>26</v>
      </c>
      <c r="E523" s="31">
        <f t="shared" si="76"/>
        <v>1244978.1599999999</v>
      </c>
      <c r="F523" s="31">
        <f t="shared" si="76"/>
        <v>2032695.07</v>
      </c>
      <c r="G523" s="31">
        <f t="shared" si="76"/>
        <v>2032695.07</v>
      </c>
      <c r="H523" s="31">
        <f t="shared" si="73"/>
        <v>0</v>
      </c>
      <c r="I523" s="32">
        <f t="shared" si="74"/>
        <v>163.27000000000001</v>
      </c>
      <c r="J523" s="31"/>
      <c r="K523" s="31">
        <f t="shared" si="75"/>
        <v>100</v>
      </c>
      <c r="L523" s="34"/>
    </row>
    <row r="524" spans="1:12" s="1" customFormat="1" ht="109.2">
      <c r="A524" s="51" t="s">
        <v>551</v>
      </c>
      <c r="B524" s="23" t="s">
        <v>108</v>
      </c>
      <c r="C524" s="53" t="s">
        <v>526</v>
      </c>
      <c r="D524" s="23" t="s">
        <v>26</v>
      </c>
      <c r="E524" s="31">
        <f>E525+E526</f>
        <v>1244978.1599999999</v>
      </c>
      <c r="F524" s="31">
        <f>F525+F526</f>
        <v>2032695.07</v>
      </c>
      <c r="G524" s="31">
        <f>G525+G526</f>
        <v>2032695.07</v>
      </c>
      <c r="H524" s="31">
        <f t="shared" si="73"/>
        <v>0</v>
      </c>
      <c r="I524" s="32">
        <f t="shared" si="74"/>
        <v>163.27000000000001</v>
      </c>
      <c r="J524" s="31"/>
      <c r="K524" s="31">
        <f t="shared" si="75"/>
        <v>100</v>
      </c>
      <c r="L524" s="34"/>
    </row>
    <row r="525" spans="1:12" s="1" customFormat="1" ht="124.8">
      <c r="A525" s="24" t="s">
        <v>120</v>
      </c>
      <c r="B525" s="23" t="s">
        <v>108</v>
      </c>
      <c r="C525" s="53" t="s">
        <v>526</v>
      </c>
      <c r="D525" s="23" t="s">
        <v>121</v>
      </c>
      <c r="E525" s="34">
        <f>972261.15</f>
        <v>972261.15</v>
      </c>
      <c r="F525" s="34">
        <f>972261.15+203685.63+60464.82</f>
        <v>1236411.6000000001</v>
      </c>
      <c r="G525" s="34">
        <f>972261.15+203685.63+60464.82</f>
        <v>1236411.6000000001</v>
      </c>
      <c r="H525" s="34">
        <f t="shared" si="73"/>
        <v>0</v>
      </c>
      <c r="I525" s="35">
        <f t="shared" si="74"/>
        <v>127.17</v>
      </c>
      <c r="J525" s="45" t="s">
        <v>575</v>
      </c>
      <c r="K525" s="34">
        <f t="shared" si="75"/>
        <v>100</v>
      </c>
      <c r="L525" s="34"/>
    </row>
    <row r="526" spans="1:12" s="1" customFormat="1" ht="124.8">
      <c r="A526" s="36" t="s">
        <v>118</v>
      </c>
      <c r="B526" s="23" t="s">
        <v>108</v>
      </c>
      <c r="C526" s="53" t="s">
        <v>526</v>
      </c>
      <c r="D526" s="23" t="s">
        <v>119</v>
      </c>
      <c r="E526" s="34">
        <f>272717.01</f>
        <v>272717.01</v>
      </c>
      <c r="F526" s="34">
        <f>1121184.21-60750.29-264150.45</f>
        <v>796283.47</v>
      </c>
      <c r="G526" s="34">
        <f>1121184.21-60750.29-264150.45</f>
        <v>796283.47</v>
      </c>
      <c r="H526" s="34">
        <f t="shared" si="73"/>
        <v>0</v>
      </c>
      <c r="I526" s="35">
        <f t="shared" si="74"/>
        <v>291.98</v>
      </c>
      <c r="J526" s="45" t="s">
        <v>575</v>
      </c>
      <c r="K526" s="34">
        <f t="shared" si="75"/>
        <v>100</v>
      </c>
      <c r="L526" s="34"/>
    </row>
    <row r="527" spans="1:12" s="1" customFormat="1" ht="15.6">
      <c r="A527" s="65" t="s">
        <v>42</v>
      </c>
      <c r="B527" s="27" t="s">
        <v>51</v>
      </c>
      <c r="C527" s="27" t="s">
        <v>147</v>
      </c>
      <c r="D527" s="27" t="s">
        <v>26</v>
      </c>
      <c r="E527" s="29">
        <f t="shared" ref="E527:G529" si="77">E528</f>
        <v>18300299.199999999</v>
      </c>
      <c r="F527" s="29">
        <f t="shared" si="77"/>
        <v>17518906.280000001</v>
      </c>
      <c r="G527" s="29">
        <f t="shared" si="77"/>
        <v>17432728.280000001</v>
      </c>
      <c r="H527" s="29">
        <f t="shared" si="73"/>
        <v>86178</v>
      </c>
      <c r="I527" s="30">
        <f t="shared" si="74"/>
        <v>95.26</v>
      </c>
      <c r="J527" s="29"/>
      <c r="K527" s="29">
        <f t="shared" si="75"/>
        <v>99.51</v>
      </c>
      <c r="L527" s="31"/>
    </row>
    <row r="528" spans="1:12" s="1" customFormat="1" ht="15.6">
      <c r="A528" s="24" t="s">
        <v>198</v>
      </c>
      <c r="B528" s="55" t="s">
        <v>199</v>
      </c>
      <c r="C528" s="55" t="s">
        <v>147</v>
      </c>
      <c r="D528" s="55" t="s">
        <v>26</v>
      </c>
      <c r="E528" s="31">
        <f t="shared" si="77"/>
        <v>18300299.199999999</v>
      </c>
      <c r="F528" s="31">
        <f t="shared" si="77"/>
        <v>17518906.280000001</v>
      </c>
      <c r="G528" s="31">
        <f t="shared" si="77"/>
        <v>17432728.280000001</v>
      </c>
      <c r="H528" s="31">
        <f t="shared" si="73"/>
        <v>86178</v>
      </c>
      <c r="I528" s="32">
        <f t="shared" si="74"/>
        <v>95.26</v>
      </c>
      <c r="J528" s="31"/>
      <c r="K528" s="31">
        <f t="shared" si="75"/>
        <v>99.51</v>
      </c>
      <c r="L528" s="31"/>
    </row>
    <row r="529" spans="1:12" s="1" customFormat="1" ht="46.8">
      <c r="A529" s="110" t="s">
        <v>383</v>
      </c>
      <c r="B529" s="23" t="s">
        <v>199</v>
      </c>
      <c r="C529" s="23" t="s">
        <v>8</v>
      </c>
      <c r="D529" s="23" t="s">
        <v>26</v>
      </c>
      <c r="E529" s="31">
        <f t="shared" si="77"/>
        <v>18300299.199999999</v>
      </c>
      <c r="F529" s="31">
        <f t="shared" si="77"/>
        <v>17518906.280000001</v>
      </c>
      <c r="G529" s="31">
        <f t="shared" si="77"/>
        <v>17432728.280000001</v>
      </c>
      <c r="H529" s="31">
        <f t="shared" si="73"/>
        <v>86178</v>
      </c>
      <c r="I529" s="32">
        <f t="shared" si="74"/>
        <v>95.26</v>
      </c>
      <c r="J529" s="31"/>
      <c r="K529" s="31">
        <f t="shared" si="75"/>
        <v>99.51</v>
      </c>
      <c r="L529" s="34"/>
    </row>
    <row r="530" spans="1:12" s="1" customFormat="1" ht="46.8">
      <c r="A530" s="33" t="s">
        <v>384</v>
      </c>
      <c r="B530" s="23" t="s">
        <v>199</v>
      </c>
      <c r="C530" s="23" t="s">
        <v>9</v>
      </c>
      <c r="D530" s="23" t="s">
        <v>26</v>
      </c>
      <c r="E530" s="31">
        <f>E531+E542</f>
        <v>18300299.199999999</v>
      </c>
      <c r="F530" s="31">
        <f>F531+F542</f>
        <v>17518906.280000001</v>
      </c>
      <c r="G530" s="31">
        <f>G531+G542</f>
        <v>17432728.280000001</v>
      </c>
      <c r="H530" s="31">
        <f t="shared" si="73"/>
        <v>86178</v>
      </c>
      <c r="I530" s="32">
        <f t="shared" si="74"/>
        <v>95.26</v>
      </c>
      <c r="J530" s="31"/>
      <c r="K530" s="31">
        <f t="shared" si="75"/>
        <v>99.51</v>
      </c>
      <c r="L530" s="34"/>
    </row>
    <row r="531" spans="1:12" s="1" customFormat="1" ht="46.8">
      <c r="A531" s="33" t="s">
        <v>557</v>
      </c>
      <c r="B531" s="55" t="s">
        <v>199</v>
      </c>
      <c r="C531" s="23" t="s">
        <v>388</v>
      </c>
      <c r="D531" s="23" t="s">
        <v>26</v>
      </c>
      <c r="E531" s="31">
        <f>E534+E532+E536+E538+E540</f>
        <v>18300299.199999999</v>
      </c>
      <c r="F531" s="31">
        <f>F534+F532+F536+F538+F540</f>
        <v>17518906.280000001</v>
      </c>
      <c r="G531" s="31">
        <f>G534+G532+G536+G538+G540</f>
        <v>17432728.280000001</v>
      </c>
      <c r="H531" s="31">
        <f t="shared" si="73"/>
        <v>86178</v>
      </c>
      <c r="I531" s="32">
        <f t="shared" si="74"/>
        <v>95.26</v>
      </c>
      <c r="J531" s="31"/>
      <c r="K531" s="31">
        <f t="shared" si="75"/>
        <v>99.51</v>
      </c>
      <c r="L531" s="34"/>
    </row>
    <row r="532" spans="1:12" s="1" customFormat="1" ht="93.6">
      <c r="A532" s="23" t="s">
        <v>110</v>
      </c>
      <c r="B532" s="55" t="s">
        <v>199</v>
      </c>
      <c r="C532" s="55" t="s">
        <v>387</v>
      </c>
      <c r="D532" s="55" t="s">
        <v>26</v>
      </c>
      <c r="E532" s="34">
        <f>E533</f>
        <v>2690000</v>
      </c>
      <c r="F532" s="34">
        <f>F533</f>
        <v>2690000</v>
      </c>
      <c r="G532" s="34">
        <f>G533</f>
        <v>2666865</v>
      </c>
      <c r="H532" s="34">
        <f t="shared" si="73"/>
        <v>23135</v>
      </c>
      <c r="I532" s="35">
        <f t="shared" si="74"/>
        <v>99.14</v>
      </c>
      <c r="J532" s="34"/>
      <c r="K532" s="34">
        <f t="shared" si="75"/>
        <v>99.14</v>
      </c>
      <c r="L532" s="34"/>
    </row>
    <row r="533" spans="1:12" s="1" customFormat="1" ht="31.2">
      <c r="A533" s="36" t="s">
        <v>118</v>
      </c>
      <c r="B533" s="55" t="s">
        <v>199</v>
      </c>
      <c r="C533" s="55" t="s">
        <v>387</v>
      </c>
      <c r="D533" s="55" t="s">
        <v>119</v>
      </c>
      <c r="E533" s="34">
        <v>2690000</v>
      </c>
      <c r="F533" s="34">
        <v>2690000</v>
      </c>
      <c r="G533" s="34">
        <v>2666865</v>
      </c>
      <c r="H533" s="34">
        <f t="shared" si="73"/>
        <v>23135</v>
      </c>
      <c r="I533" s="35">
        <f t="shared" si="74"/>
        <v>99.14</v>
      </c>
      <c r="J533" s="34"/>
      <c r="K533" s="34">
        <f t="shared" si="75"/>
        <v>99.14</v>
      </c>
      <c r="L533" s="34"/>
    </row>
    <row r="534" spans="1:12" s="1" customFormat="1" ht="46.8">
      <c r="A534" s="23" t="s">
        <v>111</v>
      </c>
      <c r="B534" s="55" t="s">
        <v>199</v>
      </c>
      <c r="C534" s="55" t="s">
        <v>386</v>
      </c>
      <c r="D534" s="55" t="s">
        <v>26</v>
      </c>
      <c r="E534" s="34">
        <f>E535</f>
        <v>1759968</v>
      </c>
      <c r="F534" s="34">
        <f>F535</f>
        <v>1759968</v>
      </c>
      <c r="G534" s="34">
        <f>G535</f>
        <v>1696925</v>
      </c>
      <c r="H534" s="34">
        <f t="shared" si="73"/>
        <v>63043</v>
      </c>
      <c r="I534" s="35">
        <f t="shared" si="74"/>
        <v>96.42</v>
      </c>
      <c r="J534" s="34"/>
      <c r="K534" s="34">
        <f t="shared" si="75"/>
        <v>96.42</v>
      </c>
      <c r="L534" s="34"/>
    </row>
    <row r="535" spans="1:12" s="1" customFormat="1" ht="31.2">
      <c r="A535" s="24" t="s">
        <v>118</v>
      </c>
      <c r="B535" s="55" t="s">
        <v>199</v>
      </c>
      <c r="C535" s="55" t="s">
        <v>386</v>
      </c>
      <c r="D535" s="55" t="s">
        <v>119</v>
      </c>
      <c r="E535" s="34">
        <v>1759968</v>
      </c>
      <c r="F535" s="34">
        <v>1759968</v>
      </c>
      <c r="G535" s="34">
        <v>1696925</v>
      </c>
      <c r="H535" s="34">
        <f t="shared" si="73"/>
        <v>63043</v>
      </c>
      <c r="I535" s="35">
        <f t="shared" si="74"/>
        <v>96.42</v>
      </c>
      <c r="J535" s="34"/>
      <c r="K535" s="34">
        <f t="shared" si="75"/>
        <v>96.42</v>
      </c>
      <c r="L535" s="29"/>
    </row>
    <row r="536" spans="1:12" s="1" customFormat="1" ht="46.8">
      <c r="A536" s="24" t="s">
        <v>144</v>
      </c>
      <c r="B536" s="55" t="s">
        <v>199</v>
      </c>
      <c r="C536" s="55" t="s">
        <v>389</v>
      </c>
      <c r="D536" s="55" t="s">
        <v>26</v>
      </c>
      <c r="E536" s="34">
        <f>E537</f>
        <v>13494938.279999999</v>
      </c>
      <c r="F536" s="34">
        <f>F537</f>
        <v>13068938.279999999</v>
      </c>
      <c r="G536" s="34">
        <f>G537</f>
        <v>13068938.279999999</v>
      </c>
      <c r="H536" s="34">
        <f t="shared" si="73"/>
        <v>0</v>
      </c>
      <c r="I536" s="35">
        <f t="shared" si="74"/>
        <v>96.84</v>
      </c>
      <c r="J536" s="34"/>
      <c r="K536" s="34">
        <f t="shared" si="75"/>
        <v>100</v>
      </c>
      <c r="L536" s="29"/>
    </row>
    <row r="537" spans="1:12" s="2" customFormat="1" ht="15.6">
      <c r="A537" s="24" t="s">
        <v>145</v>
      </c>
      <c r="B537" s="55" t="s">
        <v>199</v>
      </c>
      <c r="C537" s="55" t="s">
        <v>389</v>
      </c>
      <c r="D537" s="55" t="s">
        <v>146</v>
      </c>
      <c r="E537" s="34">
        <f>13494938.28</f>
        <v>13494938.279999999</v>
      </c>
      <c r="F537" s="34">
        <f>13494938.28-426000</f>
        <v>13068938.279999999</v>
      </c>
      <c r="G537" s="34">
        <f>13494938.28-426000</f>
        <v>13068938.279999999</v>
      </c>
      <c r="H537" s="34">
        <f t="shared" si="73"/>
        <v>0</v>
      </c>
      <c r="I537" s="35">
        <f t="shared" si="74"/>
        <v>96.84</v>
      </c>
      <c r="J537" s="34"/>
      <c r="K537" s="34">
        <f t="shared" si="75"/>
        <v>100</v>
      </c>
      <c r="L537" s="31"/>
    </row>
    <row r="538" spans="1:12" s="2" customFormat="1" ht="46.8">
      <c r="A538" s="51" t="s">
        <v>240</v>
      </c>
      <c r="B538" s="55" t="s">
        <v>199</v>
      </c>
      <c r="C538" s="64" t="s">
        <v>385</v>
      </c>
      <c r="D538" s="55" t="s">
        <v>26</v>
      </c>
      <c r="E538" s="31">
        <f>E539</f>
        <v>337623.27</v>
      </c>
      <c r="F538" s="31">
        <f>F539</f>
        <v>0</v>
      </c>
      <c r="G538" s="31">
        <f>G539</f>
        <v>0</v>
      </c>
      <c r="H538" s="31">
        <f t="shared" si="73"/>
        <v>0</v>
      </c>
      <c r="I538" s="32">
        <f t="shared" si="74"/>
        <v>0</v>
      </c>
      <c r="J538" s="31"/>
      <c r="K538" s="31" t="e">
        <f t="shared" si="75"/>
        <v>#DIV/0!</v>
      </c>
      <c r="L538" s="31"/>
    </row>
    <row r="539" spans="1:12" s="1" customFormat="1" ht="124.8">
      <c r="A539" s="36" t="s">
        <v>118</v>
      </c>
      <c r="B539" s="55" t="s">
        <v>199</v>
      </c>
      <c r="C539" s="64" t="s">
        <v>385</v>
      </c>
      <c r="D539" s="55" t="s">
        <v>119</v>
      </c>
      <c r="E539" s="45">
        <f>337623.27</f>
        <v>337623.27</v>
      </c>
      <c r="F539" s="45">
        <f>337623.27-337623.27</f>
        <v>0</v>
      </c>
      <c r="G539" s="45">
        <f>337623.27-337623.27</f>
        <v>0</v>
      </c>
      <c r="H539" s="45">
        <f t="shared" si="73"/>
        <v>0</v>
      </c>
      <c r="I539" s="57">
        <f t="shared" si="74"/>
        <v>0</v>
      </c>
      <c r="J539" s="45" t="s">
        <v>575</v>
      </c>
      <c r="K539" s="45" t="e">
        <f t="shared" si="75"/>
        <v>#DIV/0!</v>
      </c>
      <c r="L539" s="31"/>
    </row>
    <row r="540" spans="1:12" s="1" customFormat="1" ht="46.8">
      <c r="A540" s="51" t="s">
        <v>254</v>
      </c>
      <c r="B540" s="55" t="s">
        <v>199</v>
      </c>
      <c r="C540" s="64" t="s">
        <v>385</v>
      </c>
      <c r="D540" s="55" t="s">
        <v>26</v>
      </c>
      <c r="E540" s="31">
        <f>E541</f>
        <v>17769.650000000001</v>
      </c>
      <c r="F540" s="31">
        <f>F541</f>
        <v>0</v>
      </c>
      <c r="G540" s="31">
        <f>G541</f>
        <v>0</v>
      </c>
      <c r="H540" s="31">
        <f t="shared" si="73"/>
        <v>0</v>
      </c>
      <c r="I540" s="32">
        <f t="shared" si="74"/>
        <v>0</v>
      </c>
      <c r="J540" s="31"/>
      <c r="K540" s="31" t="e">
        <f t="shared" si="75"/>
        <v>#DIV/0!</v>
      </c>
      <c r="L540" s="31"/>
    </row>
    <row r="541" spans="1:12" s="1" customFormat="1" ht="124.8">
      <c r="A541" s="36" t="s">
        <v>118</v>
      </c>
      <c r="B541" s="55" t="s">
        <v>199</v>
      </c>
      <c r="C541" s="64" t="s">
        <v>385</v>
      </c>
      <c r="D541" s="55" t="s">
        <v>119</v>
      </c>
      <c r="E541" s="31">
        <f>17769.65</f>
        <v>17769.650000000001</v>
      </c>
      <c r="F541" s="31">
        <f>17769.65-17769.65</f>
        <v>0</v>
      </c>
      <c r="G541" s="31">
        <f>17769.65-17769.65</f>
        <v>0</v>
      </c>
      <c r="H541" s="31">
        <f t="shared" si="73"/>
        <v>0</v>
      </c>
      <c r="I541" s="32">
        <f t="shared" si="74"/>
        <v>0</v>
      </c>
      <c r="J541" s="42" t="s">
        <v>575</v>
      </c>
      <c r="K541" s="31" t="e">
        <f t="shared" si="75"/>
        <v>#DIV/0!</v>
      </c>
      <c r="L541" s="31"/>
    </row>
    <row r="542" spans="1:12" s="1" customFormat="1" ht="15.6">
      <c r="A542" s="33" t="s">
        <v>556</v>
      </c>
      <c r="B542" s="55" t="s">
        <v>199</v>
      </c>
      <c r="C542" s="23" t="s">
        <v>555</v>
      </c>
      <c r="D542" s="23" t="s">
        <v>26</v>
      </c>
      <c r="E542" s="31">
        <f t="shared" ref="E542:G543" si="78">E543</f>
        <v>0</v>
      </c>
      <c r="F542" s="31">
        <f t="shared" si="78"/>
        <v>0</v>
      </c>
      <c r="G542" s="31">
        <f t="shared" si="78"/>
        <v>0</v>
      </c>
      <c r="H542" s="31">
        <f t="shared" si="73"/>
        <v>0</v>
      </c>
      <c r="I542" s="32" t="e">
        <f t="shared" si="74"/>
        <v>#DIV/0!</v>
      </c>
      <c r="J542" s="31"/>
      <c r="K542" s="31" t="e">
        <f t="shared" si="75"/>
        <v>#DIV/0!</v>
      </c>
      <c r="L542" s="34"/>
    </row>
    <row r="543" spans="1:12" s="1" customFormat="1" ht="93.6">
      <c r="A543" s="23" t="s">
        <v>558</v>
      </c>
      <c r="B543" s="55" t="s">
        <v>199</v>
      </c>
      <c r="C543" s="23" t="s">
        <v>554</v>
      </c>
      <c r="D543" s="55" t="s">
        <v>26</v>
      </c>
      <c r="E543" s="34">
        <f t="shared" si="78"/>
        <v>0</v>
      </c>
      <c r="F543" s="34">
        <f t="shared" si="78"/>
        <v>0</v>
      </c>
      <c r="G543" s="34">
        <f t="shared" si="78"/>
        <v>0</v>
      </c>
      <c r="H543" s="34">
        <f t="shared" si="73"/>
        <v>0</v>
      </c>
      <c r="I543" s="35" t="e">
        <f t="shared" si="74"/>
        <v>#DIV/0!</v>
      </c>
      <c r="J543" s="34"/>
      <c r="K543" s="34" t="e">
        <f t="shared" si="75"/>
        <v>#DIV/0!</v>
      </c>
      <c r="L543" s="34"/>
    </row>
    <row r="544" spans="1:12" s="1" customFormat="1" ht="124.8">
      <c r="A544" s="36" t="s">
        <v>125</v>
      </c>
      <c r="B544" s="55" t="s">
        <v>199</v>
      </c>
      <c r="C544" s="23" t="s">
        <v>554</v>
      </c>
      <c r="D544" s="55" t="s">
        <v>126</v>
      </c>
      <c r="E544" s="34">
        <v>0</v>
      </c>
      <c r="F544" s="34">
        <v>0</v>
      </c>
      <c r="G544" s="34">
        <v>0</v>
      </c>
      <c r="H544" s="34">
        <f t="shared" si="73"/>
        <v>0</v>
      </c>
      <c r="I544" s="35" t="e">
        <f t="shared" si="74"/>
        <v>#DIV/0!</v>
      </c>
      <c r="J544" s="45" t="s">
        <v>575</v>
      </c>
      <c r="K544" s="34" t="e">
        <f t="shared" si="75"/>
        <v>#DIV/0!</v>
      </c>
      <c r="L544" s="34"/>
    </row>
    <row r="545" spans="1:12" s="1" customFormat="1" ht="15.6">
      <c r="A545" s="65" t="s">
        <v>72</v>
      </c>
      <c r="B545" s="27" t="s">
        <v>73</v>
      </c>
      <c r="C545" s="65" t="s">
        <v>147</v>
      </c>
      <c r="D545" s="27" t="s">
        <v>26</v>
      </c>
      <c r="E545" s="61">
        <f t="shared" ref="E545:G547" si="79">E546</f>
        <v>4700000</v>
      </c>
      <c r="F545" s="61">
        <f t="shared" si="79"/>
        <v>7525191.1100000003</v>
      </c>
      <c r="G545" s="61">
        <f t="shared" si="79"/>
        <v>7525191.1100000003</v>
      </c>
      <c r="H545" s="61">
        <f t="shared" si="73"/>
        <v>0</v>
      </c>
      <c r="I545" s="66">
        <f t="shared" si="74"/>
        <v>160.11000000000001</v>
      </c>
      <c r="J545" s="61"/>
      <c r="K545" s="61">
        <f t="shared" si="75"/>
        <v>100</v>
      </c>
      <c r="L545" s="31"/>
    </row>
    <row r="546" spans="1:12" s="1" customFormat="1" ht="15.6">
      <c r="A546" s="24" t="s">
        <v>74</v>
      </c>
      <c r="B546" s="23" t="s">
        <v>75</v>
      </c>
      <c r="C546" s="24" t="s">
        <v>147</v>
      </c>
      <c r="D546" s="23" t="s">
        <v>26</v>
      </c>
      <c r="E546" s="34">
        <f t="shared" si="79"/>
        <v>4700000</v>
      </c>
      <c r="F546" s="34">
        <f t="shared" si="79"/>
        <v>7525191.1100000003</v>
      </c>
      <c r="G546" s="34">
        <f t="shared" si="79"/>
        <v>7525191.1100000003</v>
      </c>
      <c r="H546" s="34">
        <f t="shared" si="73"/>
        <v>0</v>
      </c>
      <c r="I546" s="35">
        <f t="shared" si="74"/>
        <v>160.11000000000001</v>
      </c>
      <c r="J546" s="34"/>
      <c r="K546" s="34">
        <f t="shared" si="75"/>
        <v>100</v>
      </c>
      <c r="L546" s="34"/>
    </row>
    <row r="547" spans="1:12" s="1" customFormat="1" ht="46.8">
      <c r="A547" s="33" t="s">
        <v>390</v>
      </c>
      <c r="B547" s="23" t="s">
        <v>75</v>
      </c>
      <c r="C547" s="24" t="s">
        <v>154</v>
      </c>
      <c r="D547" s="23" t="s">
        <v>26</v>
      </c>
      <c r="E547" s="34">
        <f t="shared" si="79"/>
        <v>4700000</v>
      </c>
      <c r="F547" s="34">
        <f t="shared" si="79"/>
        <v>7525191.1100000003</v>
      </c>
      <c r="G547" s="34">
        <f t="shared" si="79"/>
        <v>7525191.1100000003</v>
      </c>
      <c r="H547" s="34">
        <f t="shared" si="73"/>
        <v>0</v>
      </c>
      <c r="I547" s="35">
        <f t="shared" si="74"/>
        <v>160.11000000000001</v>
      </c>
      <c r="J547" s="34"/>
      <c r="K547" s="34">
        <f t="shared" si="75"/>
        <v>100</v>
      </c>
      <c r="L547" s="31"/>
    </row>
    <row r="548" spans="1:12" s="1" customFormat="1" ht="15.6">
      <c r="A548" s="50" t="s">
        <v>391</v>
      </c>
      <c r="B548" s="23" t="s">
        <v>75</v>
      </c>
      <c r="C548" s="24" t="s">
        <v>156</v>
      </c>
      <c r="D548" s="23" t="s">
        <v>26</v>
      </c>
      <c r="E548" s="34">
        <f t="shared" ref="E548:G549" si="80">E550</f>
        <v>4700000</v>
      </c>
      <c r="F548" s="34">
        <f t="shared" si="80"/>
        <v>7525191.1100000003</v>
      </c>
      <c r="G548" s="34">
        <f t="shared" si="80"/>
        <v>7525191.1100000003</v>
      </c>
      <c r="H548" s="34">
        <f t="shared" si="73"/>
        <v>0</v>
      </c>
      <c r="I548" s="35">
        <f t="shared" si="74"/>
        <v>160.11000000000001</v>
      </c>
      <c r="J548" s="34"/>
      <c r="K548" s="34">
        <f t="shared" si="75"/>
        <v>100</v>
      </c>
      <c r="L548" s="34"/>
    </row>
    <row r="549" spans="1:12" s="1" customFormat="1" ht="31.2">
      <c r="A549" s="50" t="s">
        <v>393</v>
      </c>
      <c r="B549" s="23" t="s">
        <v>75</v>
      </c>
      <c r="C549" s="24" t="s">
        <v>392</v>
      </c>
      <c r="D549" s="23" t="s">
        <v>26</v>
      </c>
      <c r="E549" s="34">
        <f t="shared" si="80"/>
        <v>4700000</v>
      </c>
      <c r="F549" s="34">
        <f t="shared" si="80"/>
        <v>7525191.1100000003</v>
      </c>
      <c r="G549" s="34">
        <f t="shared" si="80"/>
        <v>7525191.1100000003</v>
      </c>
      <c r="H549" s="34">
        <f t="shared" si="73"/>
        <v>0</v>
      </c>
      <c r="I549" s="35">
        <f t="shared" si="74"/>
        <v>160.11000000000001</v>
      </c>
      <c r="J549" s="34"/>
      <c r="K549" s="34">
        <f t="shared" si="75"/>
        <v>100</v>
      </c>
      <c r="L549" s="29"/>
    </row>
    <row r="550" spans="1:12" s="1" customFormat="1" ht="46.8">
      <c r="A550" s="24" t="s">
        <v>394</v>
      </c>
      <c r="B550" s="23" t="s">
        <v>75</v>
      </c>
      <c r="C550" s="24" t="s">
        <v>395</v>
      </c>
      <c r="D550" s="23" t="s">
        <v>26</v>
      </c>
      <c r="E550" s="34">
        <f>E551</f>
        <v>4700000</v>
      </c>
      <c r="F550" s="34">
        <f>F551</f>
        <v>7525191.1100000003</v>
      </c>
      <c r="G550" s="34">
        <f>G551</f>
        <v>7525191.1100000003</v>
      </c>
      <c r="H550" s="34">
        <f t="shared" si="73"/>
        <v>0</v>
      </c>
      <c r="I550" s="35">
        <f t="shared" si="74"/>
        <v>160.11000000000001</v>
      </c>
      <c r="J550" s="34"/>
      <c r="K550" s="34">
        <f t="shared" si="75"/>
        <v>100</v>
      </c>
      <c r="L550" s="29"/>
    </row>
    <row r="551" spans="1:12" s="1" customFormat="1" ht="15.6">
      <c r="A551" s="24" t="s">
        <v>131</v>
      </c>
      <c r="B551" s="23" t="s">
        <v>75</v>
      </c>
      <c r="C551" s="24" t="s">
        <v>395</v>
      </c>
      <c r="D551" s="23" t="s">
        <v>132</v>
      </c>
      <c r="E551" s="34">
        <f>4700000</f>
        <v>4700000</v>
      </c>
      <c r="F551" s="34">
        <f>4700000+850573.36+1974617.75</f>
        <v>7525191.1100000003</v>
      </c>
      <c r="G551" s="34">
        <f>4700000+850573.36+1974617.75</f>
        <v>7525191.1100000003</v>
      </c>
      <c r="H551" s="34">
        <f t="shared" si="73"/>
        <v>0</v>
      </c>
      <c r="I551" s="35">
        <f t="shared" si="74"/>
        <v>160.11000000000001</v>
      </c>
      <c r="J551" s="34"/>
      <c r="K551" s="34">
        <f t="shared" si="75"/>
        <v>100</v>
      </c>
      <c r="L551" s="31"/>
    </row>
    <row r="552" spans="1:12" s="1" customFormat="1" ht="31.2">
      <c r="A552" s="65" t="s">
        <v>28</v>
      </c>
      <c r="B552" s="107" t="s">
        <v>66</v>
      </c>
      <c r="C552" s="107" t="s">
        <v>147</v>
      </c>
      <c r="D552" s="107" t="s">
        <v>26</v>
      </c>
      <c r="E552" s="61">
        <f t="shared" ref="E552:G557" si="81">E553</f>
        <v>72000</v>
      </c>
      <c r="F552" s="61">
        <f t="shared" si="81"/>
        <v>17393.93</v>
      </c>
      <c r="G552" s="61">
        <f t="shared" si="81"/>
        <v>17393.93</v>
      </c>
      <c r="H552" s="61">
        <f t="shared" si="73"/>
        <v>0</v>
      </c>
      <c r="I552" s="66">
        <f t="shared" si="74"/>
        <v>24.16</v>
      </c>
      <c r="J552" s="61"/>
      <c r="K552" s="61">
        <f t="shared" si="75"/>
        <v>100</v>
      </c>
      <c r="L552" s="31"/>
    </row>
    <row r="553" spans="1:12" s="1" customFormat="1" ht="31.2">
      <c r="A553" s="24" t="s">
        <v>67</v>
      </c>
      <c r="B553" s="23" t="s">
        <v>396</v>
      </c>
      <c r="C553" s="24" t="s">
        <v>147</v>
      </c>
      <c r="D553" s="23" t="s">
        <v>26</v>
      </c>
      <c r="E553" s="34">
        <f t="shared" si="81"/>
        <v>72000</v>
      </c>
      <c r="F553" s="34">
        <f t="shared" si="81"/>
        <v>17393.93</v>
      </c>
      <c r="G553" s="34">
        <f t="shared" si="81"/>
        <v>17393.93</v>
      </c>
      <c r="H553" s="34">
        <f t="shared" si="73"/>
        <v>0</v>
      </c>
      <c r="I553" s="35">
        <f t="shared" si="74"/>
        <v>24.16</v>
      </c>
      <c r="J553" s="34"/>
      <c r="K553" s="34">
        <f t="shared" si="75"/>
        <v>100</v>
      </c>
      <c r="L553" s="31"/>
    </row>
    <row r="554" spans="1:12" s="1" customFormat="1" ht="46.8">
      <c r="A554" s="23" t="s">
        <v>349</v>
      </c>
      <c r="B554" s="23" t="s">
        <v>396</v>
      </c>
      <c r="C554" s="24" t="s">
        <v>148</v>
      </c>
      <c r="D554" s="23" t="s">
        <v>26</v>
      </c>
      <c r="E554" s="31">
        <f t="shared" si="81"/>
        <v>72000</v>
      </c>
      <c r="F554" s="31">
        <f t="shared" si="81"/>
        <v>17393.93</v>
      </c>
      <c r="G554" s="31">
        <f t="shared" si="81"/>
        <v>17393.93</v>
      </c>
      <c r="H554" s="31">
        <f t="shared" si="73"/>
        <v>0</v>
      </c>
      <c r="I554" s="32">
        <f t="shared" si="74"/>
        <v>24.16</v>
      </c>
      <c r="J554" s="31"/>
      <c r="K554" s="31">
        <f t="shared" si="75"/>
        <v>100</v>
      </c>
      <c r="L554" s="31"/>
    </row>
    <row r="555" spans="1:12" s="1" customFormat="1" ht="31.2">
      <c r="A555" s="24" t="s">
        <v>347</v>
      </c>
      <c r="B555" s="23" t="s">
        <v>396</v>
      </c>
      <c r="C555" s="24" t="s">
        <v>277</v>
      </c>
      <c r="D555" s="23" t="s">
        <v>26</v>
      </c>
      <c r="E555" s="31">
        <f t="shared" si="81"/>
        <v>72000</v>
      </c>
      <c r="F555" s="31">
        <f t="shared" si="81"/>
        <v>17393.93</v>
      </c>
      <c r="G555" s="31">
        <f t="shared" si="81"/>
        <v>17393.93</v>
      </c>
      <c r="H555" s="31">
        <f t="shared" si="73"/>
        <v>0</v>
      </c>
      <c r="I555" s="32">
        <f t="shared" si="74"/>
        <v>24.16</v>
      </c>
      <c r="J555" s="31"/>
      <c r="K555" s="31">
        <f t="shared" si="75"/>
        <v>100</v>
      </c>
      <c r="L555" s="34"/>
    </row>
    <row r="556" spans="1:12" s="1" customFormat="1" ht="15.6">
      <c r="A556" s="24" t="s">
        <v>348</v>
      </c>
      <c r="B556" s="23" t="s">
        <v>396</v>
      </c>
      <c r="C556" s="24" t="s">
        <v>274</v>
      </c>
      <c r="D556" s="23" t="s">
        <v>26</v>
      </c>
      <c r="E556" s="31">
        <f t="shared" si="81"/>
        <v>72000</v>
      </c>
      <c r="F556" s="31">
        <f t="shared" si="81"/>
        <v>17393.93</v>
      </c>
      <c r="G556" s="31">
        <f t="shared" si="81"/>
        <v>17393.93</v>
      </c>
      <c r="H556" s="31">
        <f t="shared" si="73"/>
        <v>0</v>
      </c>
      <c r="I556" s="32">
        <f t="shared" si="74"/>
        <v>24.16</v>
      </c>
      <c r="J556" s="31"/>
      <c r="K556" s="31">
        <f t="shared" si="75"/>
        <v>100</v>
      </c>
      <c r="L556" s="34"/>
    </row>
    <row r="557" spans="1:12" s="1" customFormat="1" ht="15.6">
      <c r="A557" s="75" t="s">
        <v>39</v>
      </c>
      <c r="B557" s="23" t="s">
        <v>396</v>
      </c>
      <c r="C557" s="24" t="s">
        <v>397</v>
      </c>
      <c r="D557" s="23" t="s">
        <v>26</v>
      </c>
      <c r="E557" s="34">
        <f t="shared" si="81"/>
        <v>72000</v>
      </c>
      <c r="F557" s="34">
        <f t="shared" si="81"/>
        <v>17393.93</v>
      </c>
      <c r="G557" s="34">
        <f t="shared" si="81"/>
        <v>17393.93</v>
      </c>
      <c r="H557" s="34">
        <f t="shared" si="73"/>
        <v>0</v>
      </c>
      <c r="I557" s="35">
        <f t="shared" si="74"/>
        <v>24.16</v>
      </c>
      <c r="J557" s="34"/>
      <c r="K557" s="34">
        <f t="shared" si="75"/>
        <v>100</v>
      </c>
      <c r="L557" s="34"/>
    </row>
    <row r="558" spans="1:12" s="1" customFormat="1" ht="15.6">
      <c r="A558" s="24" t="s">
        <v>114</v>
      </c>
      <c r="B558" s="23" t="s">
        <v>396</v>
      </c>
      <c r="C558" s="24" t="s">
        <v>397</v>
      </c>
      <c r="D558" s="23" t="s">
        <v>115</v>
      </c>
      <c r="E558" s="34">
        <f>72000</f>
        <v>72000</v>
      </c>
      <c r="F558" s="34">
        <f>72000-54606.07</f>
        <v>17393.93</v>
      </c>
      <c r="G558" s="34">
        <f>72000-54606.07</f>
        <v>17393.93</v>
      </c>
      <c r="H558" s="34">
        <f t="shared" si="73"/>
        <v>0</v>
      </c>
      <c r="I558" s="35">
        <f t="shared" si="74"/>
        <v>24.16</v>
      </c>
      <c r="J558" s="34"/>
      <c r="K558" s="34">
        <f t="shared" si="75"/>
        <v>100</v>
      </c>
      <c r="L558" s="34"/>
    </row>
    <row r="559" spans="1:12" s="1" customFormat="1" ht="15.6">
      <c r="A559" s="65" t="s">
        <v>60</v>
      </c>
      <c r="B559" s="27"/>
      <c r="C559" s="65"/>
      <c r="D559" s="27"/>
      <c r="E559" s="29">
        <f>E9+E119+E127+E141+E204+E305+E396+E454+E460+E527+E545+E552</f>
        <v>1418604592.0899999</v>
      </c>
      <c r="F559" s="29">
        <f t="shared" ref="F559:G559" si="82">F9+F119+F127+F141+F204+F305+F396+F454+F460+F527+F545+F552</f>
        <v>1515605691.3099999</v>
      </c>
      <c r="G559" s="29">
        <f t="shared" si="82"/>
        <v>1481251651.75</v>
      </c>
      <c r="H559" s="29">
        <f t="shared" si="73"/>
        <v>34354039.560000002</v>
      </c>
      <c r="I559" s="30">
        <f t="shared" si="74"/>
        <v>104.42</v>
      </c>
      <c r="J559" s="29"/>
      <c r="K559" s="29">
        <f t="shared" si="75"/>
        <v>97.73</v>
      </c>
      <c r="L559" s="29"/>
    </row>
    <row r="560" spans="1:12" s="2" customFormat="1" ht="15.6">
      <c r="A560" s="1"/>
      <c r="B560" s="1"/>
      <c r="C560" s="1"/>
      <c r="D560" s="1"/>
      <c r="E560" s="1"/>
      <c r="F560" s="3"/>
    </row>
    <row r="561" spans="1:6" s="2" customFormat="1" ht="15.6">
      <c r="A561" s="1"/>
      <c r="B561" s="1"/>
      <c r="C561" s="1"/>
      <c r="D561" s="1"/>
      <c r="E561" s="1"/>
      <c r="F561" s="3"/>
    </row>
    <row r="562" spans="1:6" s="2" customFormat="1" ht="15.6">
      <c r="A562" s="1"/>
      <c r="B562" s="1"/>
      <c r="C562" s="1"/>
      <c r="D562" s="1"/>
      <c r="E562" s="1"/>
      <c r="F562" s="3"/>
    </row>
    <row r="563" spans="1:6" s="2" customFormat="1" ht="15.6">
      <c r="A563" s="1"/>
      <c r="B563" s="1"/>
      <c r="C563" s="1"/>
      <c r="D563" s="1"/>
      <c r="E563" s="1"/>
      <c r="F563" s="3"/>
    </row>
    <row r="564" spans="1:6" s="2" customFormat="1" ht="18.75" customHeight="1">
      <c r="A564" s="1"/>
      <c r="B564" s="1"/>
      <c r="C564" s="1"/>
      <c r="D564" s="1"/>
      <c r="E564" s="1"/>
      <c r="F564" s="3"/>
    </row>
    <row r="565" spans="1:6" s="2" customFormat="1" ht="23.7" customHeight="1">
      <c r="A565" s="1"/>
      <c r="B565" s="1"/>
      <c r="C565" s="1"/>
      <c r="D565" s="1"/>
      <c r="E565" s="1"/>
      <c r="F565" s="3"/>
    </row>
    <row r="566" spans="1:6" s="2" customFormat="1" ht="15" customHeight="1">
      <c r="A566" s="1"/>
      <c r="B566" s="1"/>
      <c r="C566" s="1"/>
      <c r="D566" s="1"/>
      <c r="E566" s="1"/>
      <c r="F566" s="3"/>
    </row>
    <row r="567" spans="1:6" s="2" customFormat="1" ht="15.6">
      <c r="A567" s="1"/>
      <c r="B567" s="1"/>
      <c r="C567" s="1"/>
      <c r="D567" s="1"/>
      <c r="E567" s="1"/>
      <c r="F567" s="3"/>
    </row>
    <row r="568" spans="1:6" s="2" customFormat="1" ht="15.9" customHeight="1">
      <c r="A568" s="1"/>
      <c r="B568" s="1"/>
      <c r="C568" s="1"/>
      <c r="D568" s="1"/>
      <c r="E568" s="1"/>
      <c r="F568" s="3"/>
    </row>
    <row r="569" spans="1:6" ht="15">
      <c r="A569" s="1"/>
      <c r="B569" s="1"/>
      <c r="C569" s="1"/>
      <c r="D569" s="1"/>
      <c r="E569" s="1"/>
      <c r="F569" s="3"/>
    </row>
    <row r="570" spans="1:6" ht="12.9" customHeight="1">
      <c r="A570" s="1"/>
      <c r="B570" s="1"/>
      <c r="C570" s="1"/>
      <c r="D570" s="1"/>
      <c r="E570" s="1"/>
      <c r="F570" s="3"/>
    </row>
    <row r="571" spans="1:6" ht="15">
      <c r="A571" s="1"/>
      <c r="B571" s="1"/>
      <c r="C571" s="1"/>
      <c r="D571" s="1"/>
      <c r="E571" s="1"/>
      <c r="F571" s="3"/>
    </row>
    <row r="572" spans="1:6" ht="15">
      <c r="A572" s="1"/>
      <c r="B572" s="1"/>
      <c r="C572" s="1"/>
      <c r="D572" s="1"/>
      <c r="E572" s="1"/>
      <c r="F572" s="3"/>
    </row>
  </sheetData>
  <autoFilter ref="A8:K559">
    <sortState ref="A9:K581">
      <sortCondition ref="B8:B581"/>
    </sortState>
  </autoFilter>
  <mergeCells count="5">
    <mergeCell ref="A5:K5"/>
    <mergeCell ref="I1:L1"/>
    <mergeCell ref="I2:L2"/>
    <mergeCell ref="I3:L3"/>
    <mergeCell ref="I4:L4"/>
  </mergeCells>
  <pageMargins left="0.98425196850393704" right="0.59055118110236227" top="0.35433070866141736" bottom="0.43307086614173229" header="0.15748031496062992" footer="0.31496062992125984"/>
  <pageSetup paperSize="9" scale="54" fitToHeight="0" orientation="landscape" horizontalDpi="1200" verticalDpi="1200" r:id="rId1"/>
  <headerFooter alignWithMargins="0">
    <oddHeader>&amp;R&amp;P</oddHeader>
  </headerFooter>
  <rowBreaks count="2" manualBreakCount="2">
    <brk id="511" max="12" man="1"/>
    <brk id="54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ведомственная 1 чтение</vt:lpstr>
      <vt:lpstr>'ведомственная 1 чтение'!Область_печати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mitronin</dc:creator>
  <cp:lastModifiedBy>user</cp:lastModifiedBy>
  <cp:lastPrinted>2025-03-24T00:51:22Z</cp:lastPrinted>
  <dcterms:created xsi:type="dcterms:W3CDTF">2002-10-08T15:02:13Z</dcterms:created>
  <dcterms:modified xsi:type="dcterms:W3CDTF">2025-06-18T01:10:41Z</dcterms:modified>
</cp:coreProperties>
</file>