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1508" yWindow="-12" windowWidth="11556" windowHeight="9660" tabRatio="599"/>
  </bookViews>
  <sheets>
    <sheet name="пограммная 1 чтение" sheetId="18" r:id="rId1"/>
  </sheets>
  <definedNames>
    <definedName name="_acc2" localSheetId="0">#REF!</definedName>
    <definedName name="_acc2">#REF!</definedName>
    <definedName name="_End1" localSheetId="0">#REF!</definedName>
    <definedName name="_End1">#REF!</definedName>
    <definedName name="_End10" localSheetId="0">#REF!</definedName>
    <definedName name="_End10">#REF!</definedName>
    <definedName name="_End11" localSheetId="0">#REF!</definedName>
    <definedName name="_End11">#REF!</definedName>
    <definedName name="_End12" localSheetId="0">#REF!</definedName>
    <definedName name="_End12">#REF!</definedName>
    <definedName name="_End13" localSheetId="0">#REF!</definedName>
    <definedName name="_End13">#REF!</definedName>
    <definedName name="_End14" localSheetId="0">#REF!</definedName>
    <definedName name="_End14">#REF!</definedName>
    <definedName name="_End15" localSheetId="0">#REF!</definedName>
    <definedName name="_End15">#REF!</definedName>
    <definedName name="_End16" localSheetId="0">#REF!</definedName>
    <definedName name="_End16">#REF!</definedName>
    <definedName name="_End17" localSheetId="0">#REF!</definedName>
    <definedName name="_End17">#REF!</definedName>
    <definedName name="_End18" localSheetId="0">#REF!</definedName>
    <definedName name="_End18">#REF!</definedName>
    <definedName name="_End19" localSheetId="0">#REF!</definedName>
    <definedName name="_End19">#REF!</definedName>
    <definedName name="_End2" localSheetId="0">#REF!</definedName>
    <definedName name="_End2">#REF!</definedName>
    <definedName name="_End20" localSheetId="0">#REF!</definedName>
    <definedName name="_End20">#REF!</definedName>
    <definedName name="_End21" localSheetId="0">#REF!</definedName>
    <definedName name="_End21">#REF!</definedName>
    <definedName name="_End22" localSheetId="0">#REF!</definedName>
    <definedName name="_End22">#REF!</definedName>
    <definedName name="_End23" localSheetId="0">#REF!</definedName>
    <definedName name="_End23">#REF!</definedName>
    <definedName name="_End24" localSheetId="0">#REF!</definedName>
    <definedName name="_End24">#REF!</definedName>
    <definedName name="_End25" localSheetId="0">#REF!</definedName>
    <definedName name="_End25">#REF!</definedName>
    <definedName name="_End26" localSheetId="0">#REF!</definedName>
    <definedName name="_End26">#REF!</definedName>
    <definedName name="_End27" localSheetId="0">#REF!</definedName>
    <definedName name="_End27">#REF!</definedName>
    <definedName name="_End28" localSheetId="0">#REF!</definedName>
    <definedName name="_End28">#REF!</definedName>
    <definedName name="_End29" localSheetId="0">#REF!</definedName>
    <definedName name="_End29">#REF!</definedName>
    <definedName name="_End3" localSheetId="0">#REF!</definedName>
    <definedName name="_End3">#REF!</definedName>
    <definedName name="_End30" localSheetId="0">#REF!</definedName>
    <definedName name="_End30">#REF!</definedName>
    <definedName name="_End31" localSheetId="0">#REF!</definedName>
    <definedName name="_End31">#REF!</definedName>
    <definedName name="_End32" localSheetId="0">#REF!</definedName>
    <definedName name="_End32">#REF!</definedName>
    <definedName name="_End33" localSheetId="0">#REF!</definedName>
    <definedName name="_End33">#REF!</definedName>
    <definedName name="_End34" localSheetId="0">#REF!</definedName>
    <definedName name="_End34">#REF!</definedName>
    <definedName name="_End35" localSheetId="0">#REF!</definedName>
    <definedName name="_End35">#REF!</definedName>
    <definedName name="_End36" localSheetId="0">#REF!</definedName>
    <definedName name="_End36">#REF!</definedName>
    <definedName name="_End37" localSheetId="0">#REF!</definedName>
    <definedName name="_End37">#REF!</definedName>
    <definedName name="_End38" localSheetId="0">#REF!</definedName>
    <definedName name="_End38">#REF!</definedName>
    <definedName name="_End39" localSheetId="0">#REF!</definedName>
    <definedName name="_End39">#REF!</definedName>
    <definedName name="_End4" localSheetId="0">#REF!</definedName>
    <definedName name="_End4">#REF!</definedName>
    <definedName name="_End40" localSheetId="0">#REF!</definedName>
    <definedName name="_End40">#REF!</definedName>
    <definedName name="_End41" localSheetId="0">#REF!</definedName>
    <definedName name="_End41">#REF!</definedName>
    <definedName name="_End42" localSheetId="0">#REF!</definedName>
    <definedName name="_End42">#REF!</definedName>
    <definedName name="_End43" localSheetId="0">#REF!</definedName>
    <definedName name="_End43">#REF!</definedName>
    <definedName name="_End44" localSheetId="0">#REF!</definedName>
    <definedName name="_End44">#REF!</definedName>
    <definedName name="_End45" localSheetId="0">#REF!</definedName>
    <definedName name="_End45">#REF!</definedName>
    <definedName name="_End46" localSheetId="0">#REF!</definedName>
    <definedName name="_End46">#REF!</definedName>
    <definedName name="_End47" localSheetId="0">#REF!</definedName>
    <definedName name="_End47">#REF!</definedName>
    <definedName name="_End48" localSheetId="0">#REF!</definedName>
    <definedName name="_End48">#REF!</definedName>
    <definedName name="_End49" localSheetId="0">#REF!</definedName>
    <definedName name="_End49">#REF!</definedName>
    <definedName name="_End5" localSheetId="0">#REF!</definedName>
    <definedName name="_End5">#REF!</definedName>
    <definedName name="_End50" localSheetId="0">#REF!</definedName>
    <definedName name="_End50">#REF!</definedName>
    <definedName name="_End6" localSheetId="0">#REF!</definedName>
    <definedName name="_End6">#REF!</definedName>
    <definedName name="_End7" localSheetId="0">#REF!</definedName>
    <definedName name="_End7">#REF!</definedName>
    <definedName name="_End8" localSheetId="0">#REF!</definedName>
    <definedName name="_End8">#REF!</definedName>
    <definedName name="_End9" localSheetId="0">#REF!</definedName>
    <definedName name="_End9">#REF!</definedName>
    <definedName name="_xlnm._FilterDatabase" localSheetId="0" hidden="1">'пограммная 1 чтение'!$A$1:$J$244</definedName>
    <definedName name="add_bk" localSheetId="0">#REF!</definedName>
    <definedName name="add_bk">#REF!</definedName>
    <definedName name="add_bk_n" localSheetId="0">#REF!</definedName>
    <definedName name="add_bk_n">#REF!</definedName>
    <definedName name="Boss_FIO" localSheetId="0">#REF!</definedName>
    <definedName name="Boss_FIO">#REF!</definedName>
    <definedName name="Budget_Level" localSheetId="0">#REF!</definedName>
    <definedName name="Budget_Level">#REF!</definedName>
    <definedName name="Buh_Dol" localSheetId="0">#REF!</definedName>
    <definedName name="Buh_Dol">#REF!</definedName>
    <definedName name="Buh_FIO" localSheetId="0">#REF!</definedName>
    <definedName name="Buh_FIO">#REF!</definedName>
    <definedName name="cacc2" localSheetId="0">#REF!</definedName>
    <definedName name="cacc2">#REF!</definedName>
    <definedName name="cadd_bk" localSheetId="0">#REF!</definedName>
    <definedName name="cadd_bk">#REF!</definedName>
    <definedName name="cbk" localSheetId="0">#REF!</definedName>
    <definedName name="cbk">#REF!</definedName>
    <definedName name="cdep" localSheetId="0">#REF!</definedName>
    <definedName name="cdep">#REF!</definedName>
    <definedName name="cdiv" localSheetId="0">#REF!</definedName>
    <definedName name="cdiv">#REF!</definedName>
    <definedName name="cexp" localSheetId="0">#REF!</definedName>
    <definedName name="cexp">#REF!</definedName>
    <definedName name="Chef_Dol" localSheetId="0">#REF!</definedName>
    <definedName name="Chef_Dol">#REF!</definedName>
    <definedName name="Chef_FIO" localSheetId="0">#REF!</definedName>
    <definedName name="Chef_FIO">#REF!</definedName>
    <definedName name="citem" localSheetId="0">#REF!</definedName>
    <definedName name="citem">#REF!</definedName>
    <definedName name="citem1" localSheetId="0">#REF!</definedName>
    <definedName name="citem1">#REF!</definedName>
    <definedName name="citem2" localSheetId="0">#REF!</definedName>
    <definedName name="citem2">#REF!</definedName>
    <definedName name="cmdiv" localSheetId="0">#REF!</definedName>
    <definedName name="cmdiv">#REF!</definedName>
    <definedName name="corr02_n" localSheetId="0">#REF!</definedName>
    <definedName name="corr02_n">#REF!</definedName>
    <definedName name="corr2" localSheetId="0">#REF!</definedName>
    <definedName name="corr2">#REF!</definedName>
    <definedName name="corr2_cbp" localSheetId="0">#REF!</definedName>
    <definedName name="corr2_cbp">#REF!</definedName>
    <definedName name="corr2_inn" localSheetId="0">#REF!</definedName>
    <definedName name="corr2_inn">#REF!</definedName>
    <definedName name="corr2_n" localSheetId="0">#REF!</definedName>
    <definedName name="corr2_n">#REF!</definedName>
    <definedName name="csfin" localSheetId="0">#REF!</definedName>
    <definedName name="csfin">#REF!</definedName>
    <definedName name="ctgt" localSheetId="0">#REF!</definedName>
    <definedName name="ctgt">#REF!</definedName>
    <definedName name="ctgt3" localSheetId="0">#REF!</definedName>
    <definedName name="ctgt3">#REF!</definedName>
    <definedName name="ctgt5" localSheetId="0">#REF!</definedName>
    <definedName name="ctgt5">#REF!</definedName>
    <definedName name="CurentGroup" localSheetId="0">#REF!</definedName>
    <definedName name="CurentGroup">#REF!</definedName>
    <definedName name="CurRow" localSheetId="0">#REF!</definedName>
    <definedName name="CurRow">#REF!</definedName>
    <definedName name="Data" localSheetId="0">#REF!</definedName>
    <definedName name="Data">#REF!</definedName>
    <definedName name="DataFields" localSheetId="0">#REF!</definedName>
    <definedName name="DataFields">#REF!</definedName>
    <definedName name="date" localSheetId="0">#REF!</definedName>
    <definedName name="date">#REF!</definedName>
    <definedName name="dDate1" localSheetId="0">#REF!</definedName>
    <definedName name="dDate1">#REF!</definedName>
    <definedName name="dDate2" localSheetId="0">#REF!</definedName>
    <definedName name="dDate2">#REF!</definedName>
    <definedName name="dep" localSheetId="0">#REF!</definedName>
    <definedName name="dep">#REF!</definedName>
    <definedName name="dep_n" localSheetId="0">#REF!</definedName>
    <definedName name="dep_n">#REF!</definedName>
    <definedName name="div" localSheetId="0">#REF!</definedName>
    <definedName name="div">#REF!</definedName>
    <definedName name="div_n" localSheetId="0">#REF!</definedName>
    <definedName name="div_n">#REF!</definedName>
    <definedName name="EndPred" localSheetId="0">#REF!</definedName>
    <definedName name="EndPred">#REF!</definedName>
    <definedName name="EndRow" localSheetId="0">#REF!</definedName>
    <definedName name="EndRow">#REF!</definedName>
    <definedName name="exp" localSheetId="0">#REF!</definedName>
    <definedName name="exp">#REF!</definedName>
    <definedName name="exp_n" localSheetId="0">#REF!</definedName>
    <definedName name="exp_n">#REF!</definedName>
    <definedName name="Footer" localSheetId="0">#REF!</definedName>
    <definedName name="Footer">#REF!</definedName>
    <definedName name="GroupOrder" localSheetId="0">#REF!</definedName>
    <definedName name="GroupOrder">#REF!</definedName>
    <definedName name="item" localSheetId="0">#REF!</definedName>
    <definedName name="item">#REF!</definedName>
    <definedName name="item_n" localSheetId="0">#REF!</definedName>
    <definedName name="item_n">#REF!</definedName>
    <definedName name="item1_n" localSheetId="0">#REF!</definedName>
    <definedName name="item1_n">#REF!</definedName>
    <definedName name="item2_n" localSheetId="0">#REF!</definedName>
    <definedName name="item2_n">#REF!</definedName>
    <definedName name="izm" localSheetId="0">#REF!</definedName>
    <definedName name="izm">#REF!</definedName>
    <definedName name="link" localSheetId="0">#REF!</definedName>
    <definedName name="link">#REF!</definedName>
    <definedName name="mdiv_n" localSheetId="0">#REF!</definedName>
    <definedName name="mdiv_n">#REF!</definedName>
    <definedName name="NastrFields" localSheetId="0">#REF!</definedName>
    <definedName name="NastrFields">#REF!</definedName>
    <definedName name="nCheck_1" localSheetId="0">#REF!</definedName>
    <definedName name="nCheck_1">#REF!</definedName>
    <definedName name="nCheck_10" localSheetId="0">#REF!</definedName>
    <definedName name="nCheck_10">#REF!</definedName>
    <definedName name="nCheck_11" localSheetId="0">#REF!</definedName>
    <definedName name="nCheck_11">#REF!</definedName>
    <definedName name="nCheck_12" localSheetId="0">#REF!</definedName>
    <definedName name="nCheck_12">#REF!</definedName>
    <definedName name="nCheck_13" localSheetId="0">#REF!</definedName>
    <definedName name="nCheck_13">#REF!</definedName>
    <definedName name="nCheck_2" localSheetId="0">#REF!</definedName>
    <definedName name="nCheck_2">#REF!</definedName>
    <definedName name="nCheck_5" localSheetId="0">#REF!</definedName>
    <definedName name="nCheck_5">#REF!</definedName>
    <definedName name="nCheck_6" localSheetId="0">#REF!</definedName>
    <definedName name="nCheck_6">#REF!</definedName>
    <definedName name="nCheck_7" localSheetId="0">#REF!</definedName>
    <definedName name="nCheck_7">#REF!</definedName>
    <definedName name="nCheck_8" localSheetId="0">#REF!</definedName>
    <definedName name="nCheck_8">#REF!</definedName>
    <definedName name="nCheck_9" localSheetId="0">#REF!</definedName>
    <definedName name="nCheck_9">#REF!</definedName>
    <definedName name="nOtborLink1" localSheetId="0">#REF!</definedName>
    <definedName name="nOtborLink1">#REF!</definedName>
    <definedName name="nOtborLink10" localSheetId="0">#REF!</definedName>
    <definedName name="nOtborLink10">#REF!</definedName>
    <definedName name="nOtborLink11" localSheetId="0">#REF!</definedName>
    <definedName name="nOtborLink11">#REF!</definedName>
    <definedName name="nOtborLink12" localSheetId="0">#REF!</definedName>
    <definedName name="nOtborLink12">#REF!</definedName>
    <definedName name="nOtborLink2" localSheetId="0">#REF!</definedName>
    <definedName name="nOtborLink2">#REF!</definedName>
    <definedName name="nOtborLink3" localSheetId="0">#REF!</definedName>
    <definedName name="nOtborLink3">#REF!</definedName>
    <definedName name="nOtborLink4" localSheetId="0">#REF!</definedName>
    <definedName name="nOtborLink4">#REF!</definedName>
    <definedName name="nOtborLink5" localSheetId="0">#REF!</definedName>
    <definedName name="nOtborLink5">#REF!</definedName>
    <definedName name="nOtborLink6" localSheetId="0">#REF!</definedName>
    <definedName name="nOtborLink6">#REF!</definedName>
    <definedName name="nOtborLink7" localSheetId="0">#REF!</definedName>
    <definedName name="nOtborLink7">#REF!</definedName>
    <definedName name="nOtborLink8" localSheetId="0">#REF!</definedName>
    <definedName name="nOtborLink8">#REF!</definedName>
    <definedName name="number" localSheetId="0">#REF!</definedName>
    <definedName name="number">#REF!</definedName>
    <definedName name="obj_n" localSheetId="0">#REF!</definedName>
    <definedName name="obj_n">#REF!</definedName>
    <definedName name="PrevGroupName" localSheetId="0">#REF!</definedName>
    <definedName name="PrevGroupName">#REF!</definedName>
    <definedName name="PrevGroupValue" localSheetId="0">#REF!</definedName>
    <definedName name="PrevGroupValue">#REF!</definedName>
    <definedName name="Rash_Date" localSheetId="0">#REF!</definedName>
    <definedName name="Rash_Date">#REF!</definedName>
    <definedName name="s_1" localSheetId="0">#REF!</definedName>
    <definedName name="s_1">#REF!</definedName>
    <definedName name="s_2" localSheetId="0">#REF!</definedName>
    <definedName name="s_2">#REF!</definedName>
    <definedName name="s_3" localSheetId="0">#REF!</definedName>
    <definedName name="s_3">#REF!</definedName>
    <definedName name="s_4" localSheetId="0">#REF!</definedName>
    <definedName name="s_4">#REF!</definedName>
    <definedName name="sfin" localSheetId="0">#REF!</definedName>
    <definedName name="sfin">#REF!</definedName>
    <definedName name="sfin_n" localSheetId="0">#REF!</definedName>
    <definedName name="sfin_n">#REF!</definedName>
    <definedName name="ss" localSheetId="0">#REF!</definedName>
    <definedName name="ss">#REF!</definedName>
    <definedName name="Start1" localSheetId="0">#REF!</definedName>
    <definedName name="Start1">#REF!</definedName>
    <definedName name="Start10" localSheetId="0">#REF!</definedName>
    <definedName name="Start10">#REF!</definedName>
    <definedName name="Start11" localSheetId="0">#REF!</definedName>
    <definedName name="Start11">#REF!</definedName>
    <definedName name="Start12" localSheetId="0">#REF!</definedName>
    <definedName name="Start12">#REF!</definedName>
    <definedName name="Start13" localSheetId="0">#REF!</definedName>
    <definedName name="Start13">#REF!</definedName>
    <definedName name="Start14" localSheetId="0">#REF!</definedName>
    <definedName name="Start14">#REF!</definedName>
    <definedName name="Start15" localSheetId="0">#REF!</definedName>
    <definedName name="Start15">#REF!</definedName>
    <definedName name="Start16" localSheetId="0">#REF!</definedName>
    <definedName name="Start16">#REF!</definedName>
    <definedName name="Start17" localSheetId="0">#REF!</definedName>
    <definedName name="Start17">#REF!</definedName>
    <definedName name="Start18" localSheetId="0">#REF!</definedName>
    <definedName name="Start18">#REF!</definedName>
    <definedName name="Start19" localSheetId="0">#REF!</definedName>
    <definedName name="Start19">#REF!</definedName>
    <definedName name="Start2" localSheetId="0">#REF!</definedName>
    <definedName name="Start2">#REF!</definedName>
    <definedName name="Start20" localSheetId="0">#REF!</definedName>
    <definedName name="Start20">#REF!</definedName>
    <definedName name="Start21" localSheetId="0">#REF!</definedName>
    <definedName name="Start21">#REF!</definedName>
    <definedName name="Start22" localSheetId="0">#REF!</definedName>
    <definedName name="Start22">#REF!</definedName>
    <definedName name="Start23" localSheetId="0">#REF!</definedName>
    <definedName name="Start23">#REF!</definedName>
    <definedName name="Start24" localSheetId="0">#REF!</definedName>
    <definedName name="Start24">#REF!</definedName>
    <definedName name="Start25" localSheetId="0">#REF!</definedName>
    <definedName name="Start25">#REF!</definedName>
    <definedName name="Start26" localSheetId="0">#REF!</definedName>
    <definedName name="Start26">#REF!</definedName>
    <definedName name="Start27" localSheetId="0">#REF!</definedName>
    <definedName name="Start27">#REF!</definedName>
    <definedName name="Start28" localSheetId="0">#REF!</definedName>
    <definedName name="Start28">#REF!</definedName>
    <definedName name="Start29" localSheetId="0">#REF!</definedName>
    <definedName name="Start29">#REF!</definedName>
    <definedName name="Start3" localSheetId="0">#REF!</definedName>
    <definedName name="Start3">#REF!</definedName>
    <definedName name="Start30" localSheetId="0">#REF!</definedName>
    <definedName name="Start30">#REF!</definedName>
    <definedName name="Start31" localSheetId="0">#REF!</definedName>
    <definedName name="Start31">#REF!</definedName>
    <definedName name="Start32" localSheetId="0">#REF!</definedName>
    <definedName name="Start32">#REF!</definedName>
    <definedName name="Start33" localSheetId="0">#REF!</definedName>
    <definedName name="Start33">#REF!</definedName>
    <definedName name="Start34" localSheetId="0">#REF!</definedName>
    <definedName name="Start34">#REF!</definedName>
    <definedName name="Start35" localSheetId="0">#REF!</definedName>
    <definedName name="Start35">#REF!</definedName>
    <definedName name="Start36" localSheetId="0">#REF!</definedName>
    <definedName name="Start36">#REF!</definedName>
    <definedName name="Start37" localSheetId="0">#REF!</definedName>
    <definedName name="Start37">#REF!</definedName>
    <definedName name="Start38" localSheetId="0">#REF!</definedName>
    <definedName name="Start38">#REF!</definedName>
    <definedName name="Start39" localSheetId="0">#REF!</definedName>
    <definedName name="Start39">#REF!</definedName>
    <definedName name="Start4" localSheetId="0">#REF!</definedName>
    <definedName name="Start4">#REF!</definedName>
    <definedName name="Start40" localSheetId="0">#REF!</definedName>
    <definedName name="Start40">#REF!</definedName>
    <definedName name="Start41" localSheetId="0">#REF!</definedName>
    <definedName name="Start41">#REF!</definedName>
    <definedName name="Start42" localSheetId="0">#REF!</definedName>
    <definedName name="Start42">#REF!</definedName>
    <definedName name="Start43" localSheetId="0">#REF!</definedName>
    <definedName name="Start43">#REF!</definedName>
    <definedName name="Start44" localSheetId="0">#REF!</definedName>
    <definedName name="Start44">#REF!</definedName>
    <definedName name="Start45" localSheetId="0">#REF!</definedName>
    <definedName name="Start45">#REF!</definedName>
    <definedName name="Start46" localSheetId="0">#REF!</definedName>
    <definedName name="Start46">#REF!</definedName>
    <definedName name="Start47" localSheetId="0">#REF!</definedName>
    <definedName name="Start47">#REF!</definedName>
    <definedName name="Start48" localSheetId="0">#REF!</definedName>
    <definedName name="Start48">#REF!</definedName>
    <definedName name="Start49" localSheetId="0">#REF!</definedName>
    <definedName name="Start49">#REF!</definedName>
    <definedName name="Start5" localSheetId="0">#REF!</definedName>
    <definedName name="Start5">#REF!</definedName>
    <definedName name="Start50" localSheetId="0">#REF!</definedName>
    <definedName name="Start50">#REF!</definedName>
    <definedName name="Start6" localSheetId="0">#REF!</definedName>
    <definedName name="Start6">#REF!</definedName>
    <definedName name="Start7" localSheetId="0">#REF!</definedName>
    <definedName name="Start7">#REF!</definedName>
    <definedName name="Start8" localSheetId="0">#REF!</definedName>
    <definedName name="Start8">#REF!</definedName>
    <definedName name="Start9" localSheetId="0">#REF!</definedName>
    <definedName name="Start9">#REF!</definedName>
    <definedName name="StartData" localSheetId="0">#REF!</definedName>
    <definedName name="StartData">#REF!</definedName>
    <definedName name="StartPred" localSheetId="0">#REF!</definedName>
    <definedName name="StartPred">#REF!</definedName>
    <definedName name="StartRow" localSheetId="0">#REF!</definedName>
    <definedName name="StartRow">#REF!</definedName>
    <definedName name="Struct_Podraz" localSheetId="0">#REF!</definedName>
    <definedName name="Struct_Podraz">#REF!</definedName>
    <definedName name="tgt" localSheetId="0">#REF!</definedName>
    <definedName name="tgt">#REF!</definedName>
    <definedName name="tgt_n" localSheetId="0">#REF!</definedName>
    <definedName name="tgt_n">#REF!</definedName>
    <definedName name="tgt3_n" localSheetId="0">#REF!</definedName>
    <definedName name="tgt3_n">#REF!</definedName>
    <definedName name="tgt5_n" localSheetId="0">#REF!</definedName>
    <definedName name="tgt5_n">#REF!</definedName>
    <definedName name="Today" localSheetId="0">#REF!</definedName>
    <definedName name="Today">#REF!</definedName>
    <definedName name="Today2" localSheetId="0">#REF!</definedName>
    <definedName name="Today2">#REF!</definedName>
    <definedName name="User_CBP" localSheetId="0">#REF!</definedName>
    <definedName name="User_CBP">#REF!</definedName>
    <definedName name="User_COFK" localSheetId="0">#REF!</definedName>
    <definedName name="User_COFK">#REF!</definedName>
    <definedName name="User_Dol" localSheetId="0">#REF!</definedName>
    <definedName name="User_Dol">#REF!</definedName>
    <definedName name="User_FIO" localSheetId="0">#REF!</definedName>
    <definedName name="User_FIO">#REF!</definedName>
    <definedName name="User_INN" localSheetId="0">#REF!</definedName>
    <definedName name="User_INN">#REF!</definedName>
    <definedName name="User_Name" localSheetId="0">#REF!</definedName>
    <definedName name="User_Name">#REF!</definedName>
    <definedName name="User_Phone" localSheetId="0">#REF!</definedName>
    <definedName name="User_Phone">#REF!</definedName>
    <definedName name="Zam_Boss_FIO" localSheetId="0">#REF!</definedName>
    <definedName name="Zam_Boss_FIO">#REF!</definedName>
    <definedName name="Zam_Buh_FIO" localSheetId="0">#REF!</definedName>
    <definedName name="Zam_Buh_FIO">#REF!</definedName>
    <definedName name="Zam_Chef_FIO" localSheetId="0">#REF!</definedName>
    <definedName name="Zam_Chef_FIO">#REF!</definedName>
    <definedName name="_xlnm.Print_Area" localSheetId="0">'пограммная 1 чтение'!$A$1:$J$244</definedName>
  </definedNames>
  <calcPr calcId="125725" fullPrecision="0"/>
</workbook>
</file>

<file path=xl/calcChain.xml><?xml version="1.0" encoding="utf-8"?>
<calcChain xmlns="http://schemas.openxmlformats.org/spreadsheetml/2006/main">
  <c r="G240" i="18"/>
  <c r="F230"/>
  <c r="C242" l="1"/>
  <c r="C241"/>
  <c r="C238"/>
  <c r="C237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04"/>
  <c r="C203"/>
  <c r="C199"/>
  <c r="C198"/>
  <c r="C197"/>
  <c r="C187"/>
  <c r="C179"/>
  <c r="C178"/>
  <c r="C175"/>
  <c r="C167"/>
  <c r="C165"/>
  <c r="C162"/>
  <c r="C161"/>
  <c r="C160"/>
  <c r="C156"/>
  <c r="C155"/>
  <c r="C154"/>
  <c r="C151"/>
  <c r="C145"/>
  <c r="C144"/>
  <c r="C143"/>
  <c r="C137"/>
  <c r="C136"/>
  <c r="C135"/>
  <c r="C131"/>
  <c r="C128"/>
  <c r="C126"/>
  <c r="C125"/>
  <c r="C123"/>
  <c r="C122"/>
  <c r="C121"/>
  <c r="C120"/>
  <c r="C118"/>
  <c r="C117"/>
  <c r="C116"/>
  <c r="C115"/>
  <c r="C110"/>
  <c r="C106"/>
  <c r="C101"/>
  <c r="C97"/>
  <c r="C95"/>
  <c r="C92"/>
  <c r="C87"/>
  <c r="C86"/>
  <c r="C83"/>
  <c r="C82"/>
  <c r="C78"/>
  <c r="C73"/>
  <c r="C69"/>
  <c r="C67"/>
  <c r="C63"/>
  <c r="C61"/>
  <c r="C58"/>
  <c r="C56"/>
  <c r="C54"/>
  <c r="C48"/>
  <c r="C46"/>
  <c r="C43"/>
  <c r="C40"/>
  <c r="C39"/>
  <c r="C33"/>
  <c r="C32"/>
  <c r="C31"/>
  <c r="C29"/>
  <c r="C28"/>
  <c r="C27"/>
  <c r="C26"/>
  <c r="C25"/>
  <c r="C22"/>
  <c r="C17"/>
  <c r="C16"/>
  <c r="C15"/>
  <c r="I243" l="1"/>
  <c r="I240"/>
  <c r="I239"/>
  <c r="I236"/>
  <c r="I230"/>
  <c r="I226"/>
  <c r="I218"/>
  <c r="I217"/>
  <c r="I213"/>
  <c r="I204"/>
  <c r="I193"/>
  <c r="I191"/>
  <c r="I174"/>
  <c r="I170"/>
  <c r="I169"/>
  <c r="I166"/>
  <c r="I165"/>
  <c r="I147"/>
  <c r="I142"/>
  <c r="I141"/>
  <c r="I123"/>
  <c r="I112"/>
  <c r="I107"/>
  <c r="I102"/>
  <c r="I94"/>
  <c r="I93"/>
  <c r="I91"/>
  <c r="I90"/>
  <c r="I75"/>
  <c r="I72"/>
  <c r="I57"/>
  <c r="I51"/>
  <c r="I49"/>
  <c r="I19"/>
  <c r="I11"/>
  <c r="G243"/>
  <c r="G239"/>
  <c r="G237"/>
  <c r="G236"/>
  <c r="G234"/>
  <c r="G230"/>
  <c r="G229"/>
  <c r="G228"/>
  <c r="G226"/>
  <c r="G225"/>
  <c r="G223"/>
  <c r="G222"/>
  <c r="G220"/>
  <c r="G219"/>
  <c r="G218"/>
  <c r="G217"/>
  <c r="G213"/>
  <c r="G204"/>
  <c r="G203"/>
  <c r="G193"/>
  <c r="G191"/>
  <c r="G183"/>
  <c r="G175"/>
  <c r="G174"/>
  <c r="G170"/>
  <c r="G169"/>
  <c r="G166"/>
  <c r="G165"/>
  <c r="G151"/>
  <c r="G147"/>
  <c r="G142"/>
  <c r="G141"/>
  <c r="G136"/>
  <c r="G135"/>
  <c r="G131"/>
  <c r="G128"/>
  <c r="G123"/>
  <c r="G121"/>
  <c r="G120"/>
  <c r="G117"/>
  <c r="G116"/>
  <c r="G112"/>
  <c r="G111"/>
  <c r="G107"/>
  <c r="G102"/>
  <c r="G101"/>
  <c r="G94"/>
  <c r="G93"/>
  <c r="G91"/>
  <c r="G90"/>
  <c r="G86"/>
  <c r="G82"/>
  <c r="G78"/>
  <c r="G75"/>
  <c r="G72"/>
  <c r="G67"/>
  <c r="G57"/>
  <c r="G56"/>
  <c r="G54"/>
  <c r="G51"/>
  <c r="G49"/>
  <c r="G28"/>
  <c r="G19"/>
  <c r="G16"/>
  <c r="G11"/>
  <c r="F243"/>
  <c r="F240"/>
  <c r="F239"/>
  <c r="F236"/>
  <c r="F226"/>
  <c r="F218"/>
  <c r="F217"/>
  <c r="F213"/>
  <c r="F204"/>
  <c r="F193"/>
  <c r="F191"/>
  <c r="F174"/>
  <c r="F170"/>
  <c r="F169"/>
  <c r="F166"/>
  <c r="F165"/>
  <c r="F147"/>
  <c r="F142"/>
  <c r="F141"/>
  <c r="F123"/>
  <c r="F112"/>
  <c r="F107"/>
  <c r="F102"/>
  <c r="F94"/>
  <c r="F93"/>
  <c r="F91"/>
  <c r="F90"/>
  <c r="F75"/>
  <c r="F72"/>
  <c r="F57"/>
  <c r="F51"/>
  <c r="F49"/>
  <c r="F19"/>
  <c r="F11"/>
  <c r="D10" l="1"/>
  <c r="D9" s="1"/>
  <c r="E10"/>
  <c r="E9" s="1"/>
  <c r="D15"/>
  <c r="E15"/>
  <c r="D16"/>
  <c r="D17"/>
  <c r="E17"/>
  <c r="D18"/>
  <c r="E18"/>
  <c r="D21"/>
  <c r="E21"/>
  <c r="D22"/>
  <c r="E22"/>
  <c r="D25"/>
  <c r="E25"/>
  <c r="D26"/>
  <c r="E26"/>
  <c r="D27"/>
  <c r="F27" s="1"/>
  <c r="E27"/>
  <c r="D28"/>
  <c r="D29"/>
  <c r="E29"/>
  <c r="D31"/>
  <c r="F31" s="1"/>
  <c r="E31"/>
  <c r="D32"/>
  <c r="F32" s="1"/>
  <c r="E32"/>
  <c r="D33"/>
  <c r="E33"/>
  <c r="D35"/>
  <c r="F35" s="1"/>
  <c r="E35"/>
  <c r="D36"/>
  <c r="E36"/>
  <c r="D37"/>
  <c r="F37" s="1"/>
  <c r="E37"/>
  <c r="D38"/>
  <c r="E38"/>
  <c r="D39"/>
  <c r="F39" s="1"/>
  <c r="E39"/>
  <c r="D40"/>
  <c r="E40"/>
  <c r="D42"/>
  <c r="E42"/>
  <c r="D43"/>
  <c r="E43"/>
  <c r="D46"/>
  <c r="E46"/>
  <c r="D48"/>
  <c r="E48"/>
  <c r="E47" s="1"/>
  <c r="D50"/>
  <c r="E50"/>
  <c r="E53"/>
  <c r="D54"/>
  <c r="D53" s="1"/>
  <c r="D56"/>
  <c r="D58"/>
  <c r="E58"/>
  <c r="E55" s="1"/>
  <c r="D61"/>
  <c r="E61"/>
  <c r="D63"/>
  <c r="D62" s="1"/>
  <c r="E63"/>
  <c r="E62" s="1"/>
  <c r="E66"/>
  <c r="D67"/>
  <c r="D66" s="1"/>
  <c r="D69"/>
  <c r="E69"/>
  <c r="D73"/>
  <c r="E73"/>
  <c r="E71" s="1"/>
  <c r="D74"/>
  <c r="E74"/>
  <c r="E77"/>
  <c r="E76" s="1"/>
  <c r="D78"/>
  <c r="D82"/>
  <c r="D83"/>
  <c r="E83"/>
  <c r="E81" s="1"/>
  <c r="D86"/>
  <c r="D87"/>
  <c r="F87" s="1"/>
  <c r="E87"/>
  <c r="E85" s="1"/>
  <c r="D92"/>
  <c r="E92"/>
  <c r="D95"/>
  <c r="F95" s="1"/>
  <c r="E95"/>
  <c r="D97"/>
  <c r="F97" s="1"/>
  <c r="E97"/>
  <c r="D98"/>
  <c r="E98"/>
  <c r="E100"/>
  <c r="D101"/>
  <c r="D100" s="1"/>
  <c r="D99" s="1"/>
  <c r="D106"/>
  <c r="E106"/>
  <c r="D110"/>
  <c r="E110"/>
  <c r="D111"/>
  <c r="D115"/>
  <c r="E115"/>
  <c r="D116"/>
  <c r="D117"/>
  <c r="D118"/>
  <c r="F118" s="1"/>
  <c r="E118"/>
  <c r="D120"/>
  <c r="D121"/>
  <c r="D122"/>
  <c r="E122"/>
  <c r="E119" s="1"/>
  <c r="D125"/>
  <c r="F125" s="1"/>
  <c r="E125"/>
  <c r="E126"/>
  <c r="E124" s="1"/>
  <c r="D127"/>
  <c r="E127"/>
  <c r="D128"/>
  <c r="E130"/>
  <c r="D131"/>
  <c r="D130" s="1"/>
  <c r="D129" s="1"/>
  <c r="D135"/>
  <c r="D136"/>
  <c r="D137"/>
  <c r="E137"/>
  <c r="D143"/>
  <c r="E143"/>
  <c r="D144"/>
  <c r="F144" s="1"/>
  <c r="E144"/>
  <c r="D145"/>
  <c r="E145"/>
  <c r="D146"/>
  <c r="E146"/>
  <c r="E150"/>
  <c r="E149" s="1"/>
  <c r="D151"/>
  <c r="D154"/>
  <c r="E154"/>
  <c r="D155"/>
  <c r="F155" s="1"/>
  <c r="E155"/>
  <c r="D156"/>
  <c r="E156"/>
  <c r="D160"/>
  <c r="E160"/>
  <c r="D161"/>
  <c r="E161"/>
  <c r="D162"/>
  <c r="F162" s="1"/>
  <c r="E162"/>
  <c r="D167"/>
  <c r="F167" s="1"/>
  <c r="E167"/>
  <c r="D168"/>
  <c r="E168"/>
  <c r="E173"/>
  <c r="E172" s="1"/>
  <c r="D175"/>
  <c r="D178"/>
  <c r="E178"/>
  <c r="D179"/>
  <c r="F179" s="1"/>
  <c r="E179"/>
  <c r="E182"/>
  <c r="D183"/>
  <c r="E186"/>
  <c r="D187"/>
  <c r="E187"/>
  <c r="D190"/>
  <c r="E190"/>
  <c r="D192"/>
  <c r="E192"/>
  <c r="D197"/>
  <c r="E197"/>
  <c r="D198"/>
  <c r="E198"/>
  <c r="D199"/>
  <c r="E199"/>
  <c r="D203"/>
  <c r="D206"/>
  <c r="E206"/>
  <c r="D207"/>
  <c r="E207"/>
  <c r="D208"/>
  <c r="E208"/>
  <c r="D209"/>
  <c r="F209" s="1"/>
  <c r="E209"/>
  <c r="D212"/>
  <c r="E212"/>
  <c r="D219"/>
  <c r="D220"/>
  <c r="D221"/>
  <c r="F221" s="1"/>
  <c r="E221"/>
  <c r="D222"/>
  <c r="D223"/>
  <c r="D224"/>
  <c r="F224" s="1"/>
  <c r="E224"/>
  <c r="D225"/>
  <c r="D227"/>
  <c r="E227"/>
  <c r="D228"/>
  <c r="F228" s="1"/>
  <c r="D229"/>
  <c r="D231"/>
  <c r="E231"/>
  <c r="D232"/>
  <c r="E232"/>
  <c r="D233"/>
  <c r="E233"/>
  <c r="D234"/>
  <c r="D235"/>
  <c r="E235"/>
  <c r="D237"/>
  <c r="D238"/>
  <c r="E238"/>
  <c r="D241"/>
  <c r="E241"/>
  <c r="D242"/>
  <c r="E242"/>
  <c r="F241" l="1"/>
  <c r="F233"/>
  <c r="F231"/>
  <c r="F227"/>
  <c r="F106"/>
  <c r="D177"/>
  <c r="F199"/>
  <c r="F197"/>
  <c r="E89"/>
  <c r="F48"/>
  <c r="I235"/>
  <c r="G235"/>
  <c r="I223"/>
  <c r="F223"/>
  <c r="I208"/>
  <c r="G208"/>
  <c r="I233"/>
  <c r="G233"/>
  <c r="D205"/>
  <c r="F207"/>
  <c r="E196"/>
  <c r="E195" s="1"/>
  <c r="I199"/>
  <c r="G199"/>
  <c r="D173"/>
  <c r="D172" s="1"/>
  <c r="I175"/>
  <c r="F175"/>
  <c r="I167"/>
  <c r="G167"/>
  <c r="I160"/>
  <c r="G160"/>
  <c r="I234"/>
  <c r="F234"/>
  <c r="I228"/>
  <c r="I224"/>
  <c r="G224"/>
  <c r="I221"/>
  <c r="G221"/>
  <c r="I209"/>
  <c r="G209"/>
  <c r="I207"/>
  <c r="G207"/>
  <c r="D202"/>
  <c r="F203"/>
  <c r="I203"/>
  <c r="D186"/>
  <c r="I186" s="1"/>
  <c r="F187"/>
  <c r="I179"/>
  <c r="G179"/>
  <c r="D153"/>
  <c r="F156"/>
  <c r="I144"/>
  <c r="G144"/>
  <c r="I137"/>
  <c r="G137"/>
  <c r="I128"/>
  <c r="F128"/>
  <c r="I125"/>
  <c r="G125"/>
  <c r="D119"/>
  <c r="F119" s="1"/>
  <c r="F122"/>
  <c r="I118"/>
  <c r="G118"/>
  <c r="I115"/>
  <c r="G115"/>
  <c r="D109"/>
  <c r="D108" s="1"/>
  <c r="F110"/>
  <c r="I101"/>
  <c r="F101"/>
  <c r="I95"/>
  <c r="G95"/>
  <c r="E68"/>
  <c r="G69"/>
  <c r="I69"/>
  <c r="I48"/>
  <c r="G48"/>
  <c r="E45"/>
  <c r="I46"/>
  <c r="G46"/>
  <c r="E41"/>
  <c r="I42"/>
  <c r="E34"/>
  <c r="I39"/>
  <c r="G39"/>
  <c r="I37"/>
  <c r="G37"/>
  <c r="I35"/>
  <c r="G35"/>
  <c r="I32"/>
  <c r="G32"/>
  <c r="E24"/>
  <c r="I27"/>
  <c r="G27"/>
  <c r="I25"/>
  <c r="G25"/>
  <c r="I21"/>
  <c r="G21"/>
  <c r="I15"/>
  <c r="G15"/>
  <c r="F242"/>
  <c r="F238"/>
  <c r="F232"/>
  <c r="E216"/>
  <c r="E215" s="1"/>
  <c r="F198"/>
  <c r="D164"/>
  <c r="D163" s="1"/>
  <c r="F161"/>
  <c r="F154"/>
  <c r="E134"/>
  <c r="F98"/>
  <c r="F58"/>
  <c r="D30"/>
  <c r="I220"/>
  <c r="F220"/>
  <c r="I206"/>
  <c r="G206"/>
  <c r="D182"/>
  <c r="D181" s="1"/>
  <c r="D180" s="1"/>
  <c r="I183"/>
  <c r="F183"/>
  <c r="I241"/>
  <c r="G241"/>
  <c r="I231"/>
  <c r="G231"/>
  <c r="I242"/>
  <c r="G242"/>
  <c r="G238"/>
  <c r="I238"/>
  <c r="I232"/>
  <c r="G232"/>
  <c r="I229"/>
  <c r="F229"/>
  <c r="I225"/>
  <c r="F225"/>
  <c r="I222"/>
  <c r="F222"/>
  <c r="I219"/>
  <c r="F219"/>
  <c r="I198"/>
  <c r="G198"/>
  <c r="I187"/>
  <c r="G187"/>
  <c r="I161"/>
  <c r="G161"/>
  <c r="I156"/>
  <c r="G156"/>
  <c r="I154"/>
  <c r="G154"/>
  <c r="D140"/>
  <c r="D139" s="1"/>
  <c r="D138" s="1"/>
  <c r="F143"/>
  <c r="I135"/>
  <c r="F135"/>
  <c r="I126"/>
  <c r="G126"/>
  <c r="F126"/>
  <c r="I122"/>
  <c r="G122"/>
  <c r="I120"/>
  <c r="F120"/>
  <c r="I116"/>
  <c r="F116"/>
  <c r="I110"/>
  <c r="G110"/>
  <c r="I98"/>
  <c r="G98"/>
  <c r="D89"/>
  <c r="F92"/>
  <c r="D85"/>
  <c r="D84" s="1"/>
  <c r="I86"/>
  <c r="F86"/>
  <c r="D81"/>
  <c r="D80" s="1"/>
  <c r="I82"/>
  <c r="F82"/>
  <c r="I58"/>
  <c r="G58"/>
  <c r="I54"/>
  <c r="F54"/>
  <c r="D34"/>
  <c r="F38"/>
  <c r="F28"/>
  <c r="I28"/>
  <c r="D24"/>
  <c r="F24" s="1"/>
  <c r="F26"/>
  <c r="D20"/>
  <c r="D13" s="1"/>
  <c r="F22"/>
  <c r="I16"/>
  <c r="F16"/>
  <c r="F235"/>
  <c r="F208"/>
  <c r="F206"/>
  <c r="F178"/>
  <c r="E164"/>
  <c r="I164" s="1"/>
  <c r="F145"/>
  <c r="D105"/>
  <c r="D96"/>
  <c r="D47"/>
  <c r="F47" s="1"/>
  <c r="F43"/>
  <c r="F40"/>
  <c r="F36"/>
  <c r="F33"/>
  <c r="E177"/>
  <c r="F177" s="1"/>
  <c r="I178"/>
  <c r="G178"/>
  <c r="D159"/>
  <c r="F160"/>
  <c r="D150"/>
  <c r="D149" s="1"/>
  <c r="F149" s="1"/>
  <c r="I151"/>
  <c r="F151"/>
  <c r="I145"/>
  <c r="G145"/>
  <c r="I143"/>
  <c r="G143"/>
  <c r="I136"/>
  <c r="F136"/>
  <c r="I117"/>
  <c r="F117"/>
  <c r="I111"/>
  <c r="F111"/>
  <c r="I92"/>
  <c r="G92"/>
  <c r="D71"/>
  <c r="D70" s="1"/>
  <c r="F73"/>
  <c r="I67"/>
  <c r="F67"/>
  <c r="D60"/>
  <c r="D59" s="1"/>
  <c r="F61"/>
  <c r="D55"/>
  <c r="I55" s="1"/>
  <c r="I56"/>
  <c r="F56"/>
  <c r="I43"/>
  <c r="G43"/>
  <c r="I40"/>
  <c r="G40"/>
  <c r="I38"/>
  <c r="G38"/>
  <c r="I36"/>
  <c r="G36"/>
  <c r="I33"/>
  <c r="G33"/>
  <c r="E30"/>
  <c r="I31"/>
  <c r="G31"/>
  <c r="I26"/>
  <c r="G26"/>
  <c r="G22"/>
  <c r="I22"/>
  <c r="D14"/>
  <c r="F17"/>
  <c r="F83"/>
  <c r="F63"/>
  <c r="F29"/>
  <c r="E20"/>
  <c r="F20" s="1"/>
  <c r="E14"/>
  <c r="I237"/>
  <c r="F237"/>
  <c r="I227"/>
  <c r="G227"/>
  <c r="I197"/>
  <c r="G197"/>
  <c r="I162"/>
  <c r="G162"/>
  <c r="I155"/>
  <c r="G155"/>
  <c r="D134"/>
  <c r="D133" s="1"/>
  <c r="D132" s="1"/>
  <c r="F137"/>
  <c r="I131"/>
  <c r="F131"/>
  <c r="I121"/>
  <c r="F121"/>
  <c r="D114"/>
  <c r="F115"/>
  <c r="E105"/>
  <c r="E104" s="1"/>
  <c r="I106"/>
  <c r="G106"/>
  <c r="E96"/>
  <c r="I96" s="1"/>
  <c r="I97"/>
  <c r="G97"/>
  <c r="I87"/>
  <c r="G87"/>
  <c r="I83"/>
  <c r="G83"/>
  <c r="D77"/>
  <c r="D76" s="1"/>
  <c r="I76" s="1"/>
  <c r="F78"/>
  <c r="I78"/>
  <c r="I73"/>
  <c r="G73"/>
  <c r="D68"/>
  <c r="F69"/>
  <c r="I63"/>
  <c r="G63"/>
  <c r="E60"/>
  <c r="E59" s="1"/>
  <c r="I61"/>
  <c r="G61"/>
  <c r="D45"/>
  <c r="I45" s="1"/>
  <c r="F46"/>
  <c r="D41"/>
  <c r="F42"/>
  <c r="I29"/>
  <c r="G29"/>
  <c r="I17"/>
  <c r="G17"/>
  <c r="D216"/>
  <c r="F216" s="1"/>
  <c r="E153"/>
  <c r="F25"/>
  <c r="F21"/>
  <c r="F15"/>
  <c r="F192"/>
  <c r="F96"/>
  <c r="I62"/>
  <c r="F50"/>
  <c r="F190"/>
  <c r="F146"/>
  <c r="I74"/>
  <c r="I18"/>
  <c r="D211"/>
  <c r="F212"/>
  <c r="I192"/>
  <c r="D189"/>
  <c r="D158"/>
  <c r="F74"/>
  <c r="F62"/>
  <c r="E44"/>
  <c r="F18"/>
  <c r="I168"/>
  <c r="D65"/>
  <c r="E211"/>
  <c r="I212"/>
  <c r="E185"/>
  <c r="E152"/>
  <c r="E148" s="1"/>
  <c r="I60"/>
  <c r="E189"/>
  <c r="I190"/>
  <c r="D185"/>
  <c r="D176"/>
  <c r="F168"/>
  <c r="D152"/>
  <c r="I146"/>
  <c r="D52"/>
  <c r="I50"/>
  <c r="I47"/>
  <c r="E181"/>
  <c r="I172"/>
  <c r="F172"/>
  <c r="I173"/>
  <c r="F173"/>
  <c r="E163"/>
  <c r="E129"/>
  <c r="I130"/>
  <c r="F130"/>
  <c r="I127"/>
  <c r="F127"/>
  <c r="E99"/>
  <c r="I100"/>
  <c r="F100"/>
  <c r="E88"/>
  <c r="F85"/>
  <c r="E84"/>
  <c r="I81"/>
  <c r="F81"/>
  <c r="E80"/>
  <c r="E70"/>
  <c r="I66"/>
  <c r="F66"/>
  <c r="F55"/>
  <c r="I53"/>
  <c r="F53"/>
  <c r="I9"/>
  <c r="F9"/>
  <c r="I10"/>
  <c r="F10"/>
  <c r="E205"/>
  <c r="E159"/>
  <c r="E140"/>
  <c r="E202"/>
  <c r="D196"/>
  <c r="I196" s="1"/>
  <c r="E114"/>
  <c r="E109"/>
  <c r="E52"/>
  <c r="D124"/>
  <c r="I85" l="1"/>
  <c r="F164"/>
  <c r="I20"/>
  <c r="F186"/>
  <c r="F105"/>
  <c r="I34"/>
  <c r="F89"/>
  <c r="I134"/>
  <c r="I41"/>
  <c r="I68"/>
  <c r="I153"/>
  <c r="I205"/>
  <c r="I77"/>
  <c r="F134"/>
  <c r="F41"/>
  <c r="I105"/>
  <c r="I182"/>
  <c r="F152"/>
  <c r="F68"/>
  <c r="E65"/>
  <c r="E64" s="1"/>
  <c r="I119"/>
  <c r="I150"/>
  <c r="F182"/>
  <c r="F34"/>
  <c r="F76"/>
  <c r="I89"/>
  <c r="F150"/>
  <c r="F45"/>
  <c r="F14"/>
  <c r="D23"/>
  <c r="I24"/>
  <c r="D201"/>
  <c r="D200" s="1"/>
  <c r="F77"/>
  <c r="E133"/>
  <c r="I149"/>
  <c r="D88"/>
  <c r="D79" s="1"/>
  <c r="D104"/>
  <c r="F104" s="1"/>
  <c r="I30"/>
  <c r="E176"/>
  <c r="E171" s="1"/>
  <c r="F30"/>
  <c r="I177"/>
  <c r="I216"/>
  <c r="E23"/>
  <c r="E13"/>
  <c r="F13" s="1"/>
  <c r="I71"/>
  <c r="I14"/>
  <c r="F71"/>
  <c r="F60"/>
  <c r="D215"/>
  <c r="I215" s="1"/>
  <c r="F153"/>
  <c r="D44"/>
  <c r="F44" s="1"/>
  <c r="I59"/>
  <c r="D64"/>
  <c r="D148"/>
  <c r="I148" s="1"/>
  <c r="F176"/>
  <c r="D171"/>
  <c r="E158"/>
  <c r="F158" s="1"/>
  <c r="I159"/>
  <c r="D184"/>
  <c r="F185"/>
  <c r="E184"/>
  <c r="I185"/>
  <c r="E194"/>
  <c r="E79"/>
  <c r="I79" s="1"/>
  <c r="D195"/>
  <c r="F196"/>
  <c r="D157"/>
  <c r="F59"/>
  <c r="F205"/>
  <c r="I152"/>
  <c r="E210"/>
  <c r="I211"/>
  <c r="I176"/>
  <c r="E188"/>
  <c r="I189"/>
  <c r="F159"/>
  <c r="D188"/>
  <c r="F189"/>
  <c r="D210"/>
  <c r="F211"/>
  <c r="D113"/>
  <c r="I124"/>
  <c r="F124"/>
  <c r="E214"/>
  <c r="F215"/>
  <c r="E201"/>
  <c r="I202"/>
  <c r="F202"/>
  <c r="E180"/>
  <c r="F181"/>
  <c r="I181"/>
  <c r="I163"/>
  <c r="F163"/>
  <c r="F148"/>
  <c r="E139"/>
  <c r="F140"/>
  <c r="I140"/>
  <c r="E132"/>
  <c r="I133"/>
  <c r="F133"/>
  <c r="I129"/>
  <c r="F129"/>
  <c r="E113"/>
  <c r="F114"/>
  <c r="I114"/>
  <c r="E108"/>
  <c r="F109"/>
  <c r="I109"/>
  <c r="I99"/>
  <c r="F99"/>
  <c r="F88"/>
  <c r="F84"/>
  <c r="I84"/>
  <c r="F80"/>
  <c r="I80"/>
  <c r="I70"/>
  <c r="F70"/>
  <c r="I65"/>
  <c r="I52"/>
  <c r="F52"/>
  <c r="I23"/>
  <c r="F23" l="1"/>
  <c r="F65"/>
  <c r="I13"/>
  <c r="I88"/>
  <c r="I44"/>
  <c r="D214"/>
  <c r="I214" s="1"/>
  <c r="F79"/>
  <c r="I104"/>
  <c r="I171"/>
  <c r="E12"/>
  <c r="I12" s="1"/>
  <c r="D103"/>
  <c r="D12"/>
  <c r="F188"/>
  <c r="F184"/>
  <c r="F210"/>
  <c r="F171"/>
  <c r="I188"/>
  <c r="I210"/>
  <c r="D194"/>
  <c r="F195"/>
  <c r="I195"/>
  <c r="I184"/>
  <c r="E157"/>
  <c r="I157" s="1"/>
  <c r="I158"/>
  <c r="F214"/>
  <c r="E200"/>
  <c r="I201"/>
  <c r="F201"/>
  <c r="F180"/>
  <c r="I180"/>
  <c r="E138"/>
  <c r="I139"/>
  <c r="F139"/>
  <c r="I132"/>
  <c r="F132"/>
  <c r="I113"/>
  <c r="F113"/>
  <c r="E103"/>
  <c r="F108"/>
  <c r="I108"/>
  <c r="F64"/>
  <c r="I64"/>
  <c r="C212"/>
  <c r="G212" s="1"/>
  <c r="F12" l="1"/>
  <c r="F194"/>
  <c r="D244"/>
  <c r="I194"/>
  <c r="E244"/>
  <c r="F157"/>
  <c r="I200"/>
  <c r="F200"/>
  <c r="I138"/>
  <c r="F138"/>
  <c r="I103"/>
  <c r="F103"/>
  <c r="C211"/>
  <c r="I244" l="1"/>
  <c r="F244"/>
  <c r="C210"/>
  <c r="G210" s="1"/>
  <c r="G211"/>
  <c r="C146" l="1"/>
  <c r="G146" s="1"/>
  <c r="C24"/>
  <c r="G24" s="1"/>
  <c r="C42" l="1"/>
  <c r="G42" s="1"/>
  <c r="C205" l="1"/>
  <c r="G205" s="1"/>
  <c r="C182" l="1"/>
  <c r="G182" s="1"/>
  <c r="C41" l="1"/>
  <c r="G41" s="1"/>
  <c r="C20"/>
  <c r="G20" s="1"/>
  <c r="C159"/>
  <c r="C158" l="1"/>
  <c r="G158" s="1"/>
  <c r="G159"/>
  <c r="C34"/>
  <c r="G34" s="1"/>
  <c r="C134"/>
  <c r="G134" s="1"/>
  <c r="C74"/>
  <c r="G74" s="1"/>
  <c r="C216" l="1"/>
  <c r="G216" s="1"/>
  <c r="C202"/>
  <c r="G202" s="1"/>
  <c r="C196"/>
  <c r="C192"/>
  <c r="G192" s="1"/>
  <c r="C190"/>
  <c r="G190" s="1"/>
  <c r="C186"/>
  <c r="C177"/>
  <c r="C173"/>
  <c r="C168"/>
  <c r="G168" s="1"/>
  <c r="C164"/>
  <c r="G164" s="1"/>
  <c r="C153"/>
  <c r="C150"/>
  <c r="C140"/>
  <c r="G140" s="1"/>
  <c r="C130"/>
  <c r="C127"/>
  <c r="G127" s="1"/>
  <c r="C124"/>
  <c r="G124" s="1"/>
  <c r="C195" l="1"/>
  <c r="G196"/>
  <c r="C185"/>
  <c r="G186"/>
  <c r="C176"/>
  <c r="G176" s="1"/>
  <c r="G177"/>
  <c r="C172"/>
  <c r="G172" s="1"/>
  <c r="G173"/>
  <c r="C152"/>
  <c r="G152" s="1"/>
  <c r="G153"/>
  <c r="C149"/>
  <c r="G149" s="1"/>
  <c r="G150"/>
  <c r="C129"/>
  <c r="G129" s="1"/>
  <c r="G130"/>
  <c r="C139"/>
  <c r="C201"/>
  <c r="C189"/>
  <c r="C163"/>
  <c r="C119"/>
  <c r="G119" s="1"/>
  <c r="C114"/>
  <c r="G114" s="1"/>
  <c r="C188" l="1"/>
  <c r="G188" s="1"/>
  <c r="G189"/>
  <c r="C148"/>
  <c r="G148" s="1"/>
  <c r="C200"/>
  <c r="G200" s="1"/>
  <c r="G201"/>
  <c r="C194"/>
  <c r="G194" s="1"/>
  <c r="G195"/>
  <c r="C184"/>
  <c r="G184" s="1"/>
  <c r="G185"/>
  <c r="C171"/>
  <c r="G171" s="1"/>
  <c r="C181"/>
  <c r="C157"/>
  <c r="G157" s="1"/>
  <c r="G163"/>
  <c r="C138"/>
  <c r="G138" s="1"/>
  <c r="G139"/>
  <c r="C113"/>
  <c r="G113" s="1"/>
  <c r="C109"/>
  <c r="C105"/>
  <c r="C100"/>
  <c r="C96"/>
  <c r="G96" s="1"/>
  <c r="C89"/>
  <c r="G89" s="1"/>
  <c r="C85"/>
  <c r="C81"/>
  <c r="C77"/>
  <c r="C71"/>
  <c r="C68"/>
  <c r="G68" s="1"/>
  <c r="C66"/>
  <c r="G66" s="1"/>
  <c r="C62"/>
  <c r="G62" s="1"/>
  <c r="C60"/>
  <c r="G60" s="1"/>
  <c r="C55"/>
  <c r="G55" s="1"/>
  <c r="C53"/>
  <c r="G53" s="1"/>
  <c r="C50"/>
  <c r="G50" s="1"/>
  <c r="C47"/>
  <c r="G47" s="1"/>
  <c r="C45"/>
  <c r="G45" s="1"/>
  <c r="C30"/>
  <c r="G30" s="1"/>
  <c r="C18"/>
  <c r="G18" s="1"/>
  <c r="C14"/>
  <c r="G14" s="1"/>
  <c r="C10"/>
  <c r="C215"/>
  <c r="C9" l="1"/>
  <c r="G9" s="1"/>
  <c r="G10"/>
  <c r="C214"/>
  <c r="G214" s="1"/>
  <c r="G215"/>
  <c r="C180"/>
  <c r="G180" s="1"/>
  <c r="G181"/>
  <c r="C108"/>
  <c r="G108" s="1"/>
  <c r="G109"/>
  <c r="C104"/>
  <c r="G104" s="1"/>
  <c r="G105"/>
  <c r="C99"/>
  <c r="G99" s="1"/>
  <c r="G100"/>
  <c r="C84"/>
  <c r="G84" s="1"/>
  <c r="G85"/>
  <c r="C80"/>
  <c r="G80" s="1"/>
  <c r="G81"/>
  <c r="C76"/>
  <c r="G76" s="1"/>
  <c r="G77"/>
  <c r="C70"/>
  <c r="G70" s="1"/>
  <c r="G71"/>
  <c r="C52"/>
  <c r="G52" s="1"/>
  <c r="C65"/>
  <c r="C13"/>
  <c r="G13" s="1"/>
  <c r="C59"/>
  <c r="G59" s="1"/>
  <c r="C88"/>
  <c r="G88" s="1"/>
  <c r="C23"/>
  <c r="G23" s="1"/>
  <c r="C44"/>
  <c r="G44" s="1"/>
  <c r="C103" l="1"/>
  <c r="G103" s="1"/>
  <c r="C79"/>
  <c r="G79" s="1"/>
  <c r="C64"/>
  <c r="G64" s="1"/>
  <c r="G65"/>
  <c r="C12"/>
  <c r="G12" s="1"/>
  <c r="C133" l="1"/>
  <c r="C132" l="1"/>
  <c r="G133"/>
  <c r="C244" l="1"/>
  <c r="G244" s="1"/>
  <c r="G132"/>
</calcChain>
</file>

<file path=xl/sharedStrings.xml><?xml version="1.0" encoding="utf-8"?>
<sst xmlns="http://schemas.openxmlformats.org/spreadsheetml/2006/main" count="490" uniqueCount="457">
  <si>
    <t>02 0 00 00000</t>
  </si>
  <si>
    <t>02 3 00 00000</t>
  </si>
  <si>
    <t>01 0 00 00000</t>
  </si>
  <si>
    <t>01 1 00 00000</t>
  </si>
  <si>
    <t>01 1 01 20030</t>
  </si>
  <si>
    <t>03 0 00 00000</t>
  </si>
  <si>
    <t>06 3 00 00000</t>
  </si>
  <si>
    <t>Подпрограмма "Доступная среда"</t>
  </si>
  <si>
    <t>09 0 00 00000</t>
  </si>
  <si>
    <t>09 1 00 00000</t>
  </si>
  <si>
    <t>05 0 00 00000</t>
  </si>
  <si>
    <t>05 1 00 00000</t>
  </si>
  <si>
    <t>05 1 01 70590</t>
  </si>
  <si>
    <t>05 1 01 70610</t>
  </si>
  <si>
    <t>05 2 00 00000</t>
  </si>
  <si>
    <t>05 2 01 70590</t>
  </si>
  <si>
    <t>05 2 01 70610</t>
  </si>
  <si>
    <t>05 4 00 00000</t>
  </si>
  <si>
    <t>02 1 00 00000</t>
  </si>
  <si>
    <t>02 2 00 00000</t>
  </si>
  <si>
    <t>02 3 02 93080</t>
  </si>
  <si>
    <t>02 5 00 00000</t>
  </si>
  <si>
    <t>02 5 01 70590</t>
  </si>
  <si>
    <t>Подпрограмма "Социальная поддержка семей и детей"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</si>
  <si>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</si>
  <si>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Наименование</t>
  </si>
  <si>
    <t>Целевая статья</t>
  </si>
  <si>
    <t>Процентные платежи по муниципальному долгу</t>
  </si>
  <si>
    <t>Всего расходов</t>
  </si>
  <si>
    <t>Расходы, связанные с исполнением решений, принятых судебными органами</t>
  </si>
  <si>
    <t>к муниципальному правовому акту</t>
  </si>
  <si>
    <t>Руководство и управление в сфере установленных функций органов  местного самоуправления</t>
  </si>
  <si>
    <t xml:space="preserve">Председатель контрольно-счетной комиссии </t>
  </si>
  <si>
    <t>Субвенции на осуществление первичного воинского учета на территориях, где отсутствуют военные комиссариаты в рамках непрограммных расходов федеральных органов исполнительной власти</t>
  </si>
  <si>
    <t>Субвенции на создание и обеспечение деятельности комиссий по делам несовершеннолетних и защите их прав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</si>
  <si>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</si>
  <si>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Субвенции на реализацию отдельных государственных полномочий по созданию административных комиссий</t>
  </si>
  <si>
    <t>Оценка недвижимости, признание прав и регулирование отношений муниципальной собственности</t>
  </si>
  <si>
    <t>Проведение мероприятий для детей и молодежи</t>
  </si>
  <si>
    <t>Пенсии за выслугу лет муниципальным служащим</t>
  </si>
  <si>
    <t>Реализация физкультурных и спортивно-массовых мероприятий; участие спортсменов в краевых, межрегиональных и международных физкультурных и спортивных мероприятиях, привлечение медицинского персонала, приобретение инвентаря и формы</t>
  </si>
  <si>
    <t>Обеспечение материального стимулирования организаторов физкультурно-массовой работы в поселениях</t>
  </si>
  <si>
    <t>Расходы на обеспечение деятельности (оказание услуг, выполнение работ) муниципальных учреждений</t>
  </si>
  <si>
    <t>Мероприятия по профилактике экстремизма и терроризма</t>
  </si>
  <si>
    <t>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на праве оперативного управления</t>
  </si>
  <si>
    <t>Расходы на приобретение муниципальными учреждениями недвижимого и особо ценного движимого имущества</t>
  </si>
  <si>
    <t>Исполнения обязательств по уплате взносов за капитальный ремонт общего имущества в многоквартирных домах</t>
  </si>
  <si>
    <t>Расходы на обеспечение деятельности (оказание услуг, выполнение работ) муниципальных учреждений (Спортивный комплекс "Луч")</t>
  </si>
  <si>
    <t>99 0 00 00000</t>
  </si>
  <si>
    <t>18 0 00 00000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</si>
  <si>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</si>
  <si>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07 0 00 00000</t>
  </si>
  <si>
    <t>Подпрограмма "Снижение рисков и смягчение последствий чрезвычайных ситуаций природного и техногенного характера в Приморском крае"</t>
  </si>
  <si>
    <t>07 1 00 00000</t>
  </si>
  <si>
    <t>11 0 00 00000</t>
  </si>
  <si>
    <t>11 1 00 00000</t>
  </si>
  <si>
    <t>11 2 00 00000</t>
  </si>
  <si>
    <t>18 1 00 00000</t>
  </si>
  <si>
    <t>18 1 03 20170</t>
  </si>
  <si>
    <t>99 9 99 93040</t>
  </si>
  <si>
    <t>12 0 00 00000</t>
  </si>
  <si>
    <t>12 1 00 00000</t>
  </si>
  <si>
    <t>12 2 00 00000</t>
  </si>
  <si>
    <t>12 2 03 20190</t>
  </si>
  <si>
    <t>12 2 03 20200</t>
  </si>
  <si>
    <t>13 0 00 00000</t>
  </si>
  <si>
    <t>13 1 00 00000</t>
  </si>
  <si>
    <t>17 0 00 00000</t>
  </si>
  <si>
    <t>06 0 00 00000</t>
  </si>
  <si>
    <t>Субвенции на регистрацию и учет граждан, имеющих право на получение жилищных субсидий в связис переселением из районов Крайнего Севера и приравненных к ним местностей</t>
  </si>
  <si>
    <t>05 3 00 00000</t>
  </si>
  <si>
    <t>02 6 00 00000</t>
  </si>
  <si>
    <t>06 6 00 00000</t>
  </si>
  <si>
    <t>99 9 99 59300</t>
  </si>
  <si>
    <t>12 2 03 00000</t>
  </si>
  <si>
    <t>06 6 01 S2320</t>
  </si>
  <si>
    <t>06 3 01 L4970</t>
  </si>
  <si>
    <t xml:space="preserve">Софинансирование из местного бюджета мероприятий по обеспечению развития и укреплению материально-технической базы домов культуры в населенных пунктах с числом жителей до 50 тысяч человек </t>
  </si>
  <si>
    <t xml:space="preserve">05 3 01 L4670 </t>
  </si>
  <si>
    <t>Субсидии организациям на возмещение расходов в области ЖКХ</t>
  </si>
  <si>
    <t>06 6 02 60030</t>
  </si>
  <si>
    <t>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</si>
  <si>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99 9 99 93130</t>
  </si>
  <si>
    <t>02 6 Е1 00000</t>
  </si>
  <si>
    <t>Субсидии из краевого бюджета бюджетам муниципальных образований Приморского края на комплектование книжных фондов и обеспечение информационно-техническим оборудованием библиотек</t>
  </si>
  <si>
    <t>Основное мероприятие "Выполнение обязательств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</si>
  <si>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06 5 00 00000</t>
  </si>
  <si>
    <t>06 5 01 00000</t>
  </si>
  <si>
    <t>Основное мероприятие "Обеспечение граждан твердым топливом (дровами)"</t>
  </si>
  <si>
    <t>Субсидии бюджетам муниципальных образований Приморского края на обеспечение граждан твердым топливом (дровами)</t>
  </si>
  <si>
    <t>12 2 R1 00000</t>
  </si>
  <si>
    <t>Материальная поддержка студентов</t>
  </si>
  <si>
    <t>Софинансирование из местного бюджета субсидии бюджетам муниципальных образований Приморского края на обеспечение граждан твердым топливом (дровами)</t>
  </si>
  <si>
    <t>Софинансирование из местного бюджета субсидии из краевого бюджета бюджетам муниципальных образований Приморского края на комплектование книжных фондов и обеспечение информационно-техническим оборудованием библиотек</t>
  </si>
  <si>
    <t>05 3 01 S2540</t>
  </si>
  <si>
    <t>99 9 99 10010</t>
  </si>
  <si>
    <t>99 9 99 10020</t>
  </si>
  <si>
    <t>99 9 99 10030</t>
  </si>
  <si>
    <t>99 9 99 10050</t>
  </si>
  <si>
    <t>99 9 99 10060</t>
  </si>
  <si>
    <t>99 9 99 10070</t>
  </si>
  <si>
    <t>99 9 99 20240</t>
  </si>
  <si>
    <t>99 9 99 70590</t>
  </si>
  <si>
    <t>99 9 99 20220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</si>
  <si>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</si>
  <si>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02 2 01 70590</t>
  </si>
  <si>
    <t>02 2 01 70600</t>
  </si>
  <si>
    <t>02 2 01 93060</t>
  </si>
  <si>
    <t>02 1 01 70590</t>
  </si>
  <si>
    <t>02 1 01 70600</t>
  </si>
  <si>
    <t>02 1 01 93070</t>
  </si>
  <si>
    <t>Основное мероприятие "Реализация образовательных программ дошкольного образования"</t>
  </si>
  <si>
    <t>02 1 01 00000</t>
  </si>
  <si>
    <t>06 6 03 00000</t>
  </si>
  <si>
    <t>06 6 03 S2620</t>
  </si>
  <si>
    <t>Субвенции бюджетам муниципальных образований Приморского края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</si>
  <si>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13 1 01 00000</t>
  </si>
  <si>
    <t>02 2 01 53030</t>
  </si>
  <si>
    <t>13 1 01 S2280</t>
  </si>
  <si>
    <t>20 0 00 00000</t>
  </si>
  <si>
    <t>99 9 99 93180</t>
  </si>
  <si>
    <t>06 5 01 R0820</t>
  </si>
  <si>
    <t>02 6 Е1 93140</t>
  </si>
  <si>
    <t>Субсидии бюджетам муниципальных образований Приморского края на организацию физкультурно-спортивной работы по месту жительства</t>
  </si>
  <si>
    <t>02 3 01 70590</t>
  </si>
  <si>
    <t>Реализация мероприятий по модернизации школьных систем образования</t>
  </si>
  <si>
    <t>Софинансирование из местного бюджета на реализацию мероприятий по модернизации школьных систем образования</t>
  </si>
  <si>
    <t>Субсидии бюджетам муниципальных образований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</si>
  <si>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Софинансирование из местного бюджета  по субсидиям на государственную поддержку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</si>
  <si>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</si>
  <si>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05 3 01 L5190</t>
  </si>
  <si>
    <t>Субсидии бюджетам муниципальных образований на обеспечение земельных участков, предоставленных на бесплатной основе гражданам, имеющим трех и более детей, инженерной инфраструктурой</t>
  </si>
  <si>
    <t>06 6 01 S2100</t>
  </si>
  <si>
    <t>Софинансирование из местного бюджета  на обеспечение земельных участков, предоставленных на бесплатной основе гражданам, имеющим трех и более детей, инженерной инфраструктурой</t>
  </si>
  <si>
    <t>Субсидии из краевого бюджета бюджетам муниципальных образований Приморского края реализацию мероприятий по обеспечению жильем молодых семей</t>
  </si>
  <si>
    <t>Софинансирование из местного бюджета на реализацию мероприятий по обеспечению жильем молодых семей</t>
  </si>
  <si>
    <t>Софинансирование из местного бюджета на организацию физкультурно-спортивной работы по месту жительства</t>
  </si>
  <si>
    <t>Субсидии бюджетам муниципальных образований Приморского края на организацию транспортного обслуживания населения в границах муниципальных образований Приморского края</t>
  </si>
  <si>
    <t>12 1 01 S2410</t>
  </si>
  <si>
    <t>Софинансирование из местного бюджета  на организацию транспортного обслуживания населения в границах муниципальных образований Приморского края</t>
  </si>
  <si>
    <t>Софинансирование из местного бюджета на мероприятия по озданию и развитию системы газоснабжения муниципальных образований</t>
  </si>
  <si>
    <t>Субсидии бюджетам муниципальных образований на 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</si>
  <si>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Софинансирование из местного бюджета на 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</si>
  <si>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Проведение мероприятий по восстановлению воинских захоронений</t>
  </si>
  <si>
    <t>19 1 01 L2990</t>
  </si>
  <si>
    <t>19 1 01 00000</t>
  </si>
  <si>
    <t>Субсидии бюджетам муниципальных образований на мероприятия по поддержке муниципальных программ по благоустройству территорий муниципальных образований</t>
  </si>
  <si>
    <t>Софинансирование из местного бюджета на мероприятия по поддержке муниципальных программ по благоустройству территорий муниципальных образований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</si>
  <si>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 Приморского края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</si>
  <si>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</si>
  <si>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>Субвенции на обеспечения оздоровления и отдыха детей Приморского края (за исключением организации отдыха детей в каникулярное время)</t>
  </si>
  <si>
    <t>Субвенции бюджетам муниципальных образований Приморского края на обеспечение бесплатным питанием детей, обучающихся в муниципальных образовательных организациях Приморского края</t>
  </si>
  <si>
    <t>Субвенции бюджетам муниципальных образований на осуществление государственных полномочий органов опеки и попечительства в отношении несовершеннолетних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</si>
  <si>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</si>
  <si>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99 9 99 00000</t>
  </si>
  <si>
    <t>99 9 99 93100</t>
  </si>
  <si>
    <t>99 9 99 51180</t>
  </si>
  <si>
    <t>99 9 00 00000</t>
  </si>
  <si>
    <t>Субвенции                                                                                                        бюджетам муниципальных образований Приморского края на реализацию государственных полномочий по организации мероприятий при осуществлении деятельности по обращению с животными без владельцев</t>
  </si>
  <si>
    <t>Региональный проект "Региональная и местная дорожная сеть"</t>
  </si>
  <si>
    <t>Региональный проект "Современная школа"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</si>
  <si>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</si>
  <si>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Иные межбюджетные трансферты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</si>
  <si>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Софинансирование из местного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</si>
  <si>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02 1 02 S2020</t>
  </si>
  <si>
    <t>02 3 01 00000</t>
  </si>
  <si>
    <t>Расходы на обеспечение деятельности (оказание услуг, выполнение работ) муниципальных учреждений (ДЮСШ)</t>
  </si>
  <si>
    <t>17 2 00 00000</t>
  </si>
  <si>
    <t>Основное мероприятие "Пропаганда и популяризация предпринимательской деятельности"</t>
  </si>
  <si>
    <t>17 2 03 00000</t>
  </si>
  <si>
    <t>Пропаганда и популяризация предпринимательской деятельности</t>
  </si>
  <si>
    <t>12 1 01 60010</t>
  </si>
  <si>
    <t>Субсидии юридическим лицам на возмещение недополученных доходов, возникающих в связи с регулированием органами исполнительной власти Приморского края тарифов на перевозки поссажиров и багажа автомобильным транспортом</t>
  </si>
  <si>
    <t>12 1 01 00000</t>
  </si>
  <si>
    <t>Перевоз невостребованных трупов в морг и к месту захоронения</t>
  </si>
  <si>
    <t>99 9 99 20430</t>
  </si>
  <si>
    <t>99 9 99 20440</t>
  </si>
  <si>
    <t>Благоустройство Шкотовского муниципального округа</t>
  </si>
  <si>
    <t>Подпрограмма "Развитие системы дошкольного образования"</t>
  </si>
  <si>
    <t>Основное мероприятие "Развитие инфраструктуры организаций дошкольного образования"</t>
  </si>
  <si>
    <t>02 1 02 00000</t>
  </si>
  <si>
    <t>02 2 01 00000</t>
  </si>
  <si>
    <t>02 2 02 00000</t>
  </si>
  <si>
    <t>Основное мероприятие "Создание условий для получения качественного общего образования"</t>
  </si>
  <si>
    <t>Основное мероприятие "Реализация образовательных программ общего образования"</t>
  </si>
  <si>
    <t>02 2 02 93150</t>
  </si>
  <si>
    <t>02 2 02 R3040</t>
  </si>
  <si>
    <t>02 2 02 70620</t>
  </si>
  <si>
    <t>Субсидии бюджетным учреждениям на питание обучающихся, мобилизованных граждан</t>
  </si>
  <si>
    <t>Основное мероприятие "Развитие материально – технической базы общеобразовательных учреждений Шкотовского муниципального округа (капитальные ремонты, благоустройство территорий, оформление рекреационных пространств)"</t>
  </si>
  <si>
    <t>02 2 03 00000</t>
  </si>
  <si>
    <t>02 2 03 L7500</t>
  </si>
  <si>
    <t>Основное мероприятие региональный проект "Патриотическое воспитание граждан Российской Федерации</t>
  </si>
  <si>
    <t>Основное мероприятие "Реализация образовательных программ дополнительного образования"</t>
  </si>
  <si>
    <t>02 3 02 00000</t>
  </si>
  <si>
    <t>Основное мероприятие "Развитие системы отдыха, оздоровления и занятости детей и подростков на территории Шкотовского муниципального округа"</t>
  </si>
  <si>
    <t>02 3 02 20060</t>
  </si>
  <si>
    <t>Развитие системы отдыха, оздоровления и занятости детей и подростков на территории Шкотовского муниципального округа</t>
  </si>
  <si>
    <t>Подпрограмма "Совершенствование управления системой образования"</t>
  </si>
  <si>
    <t>02 5 01 00000</t>
  </si>
  <si>
    <t>02 5 02 00000</t>
  </si>
  <si>
    <t>Основное мероприятие "Развитие кадрового потенциала в образовательных организациях Шкотовского муниципального округа"</t>
  </si>
  <si>
    <t>Муниципальная программа "Социальная поддержка населения Шкотовского муниципального округа на 2023-2027 годы"</t>
  </si>
  <si>
    <t>03 2 00 00000</t>
  </si>
  <si>
    <t>03 2 01 00000</t>
  </si>
  <si>
    <t>Основное мероприятие "Меры социальной поддержки семей, имеющих детей"</t>
  </si>
  <si>
    <t>02 5 02 20330</t>
  </si>
  <si>
    <t>Муниципальная программа "Развитие культуры Шкотовского муниципального округа Приморского края на 2021-2027 годы"</t>
  </si>
  <si>
    <t>05 1 01 00000</t>
  </si>
  <si>
    <t>05 2 01 00000</t>
  </si>
  <si>
    <t>05 3 01 00000</t>
  </si>
  <si>
    <t>Подпрограмма "Поддержка учреждений культуры в Шкотовском муниципальном округе"</t>
  </si>
  <si>
    <t>Основное мероприятие "Обеспечение поддержки учреждений культуры в Шкотовском муниципальном округе"</t>
  </si>
  <si>
    <t xml:space="preserve">Подпрограмма "Осуществление руководства и управления в сфере установленных функций учреждения культуры Шкотовского округа " (финансово-методический центр) </t>
  </si>
  <si>
    <t>05 4 01 70590</t>
  </si>
  <si>
    <t>05 4 01 70610</t>
  </si>
  <si>
    <t>19 1 00 00000</t>
  </si>
  <si>
    <t>19 0 00 00000</t>
  </si>
  <si>
    <t>Основное мероприятие "Мероприятия историко-патриотической, патриотической, культурно-патриотической, спортивно-патриотической направленности"</t>
  </si>
  <si>
    <t>Мероприятия непрограммных направлений деятельности органов государственной власти</t>
  </si>
  <si>
    <t>Непрограммные мероприятия</t>
  </si>
  <si>
    <t>Непрограммные направления деятельности органов местного самоуправления Шкотовского муниципального округа</t>
  </si>
  <si>
    <t>Резервный фонд администрации Шкотовского муниципального окргуа</t>
  </si>
  <si>
    <t>99 9 99 51200</t>
  </si>
  <si>
    <t>99 9 99 93160</t>
  </si>
  <si>
    <t>07 1 01 20040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</si>
  <si>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Шкотовского муниципального округа"</t>
  </si>
  <si>
    <t>Муниципальная программа "Развитие транспортного комплекса Шкотовского муниципального округа на 2022-2027 годы"</t>
  </si>
  <si>
    <t xml:space="preserve">Подпрограмма  "Развитие транспортного комплекса Шкотовского муниципального округа на 2022-2027 годы" </t>
  </si>
  <si>
    <t>Основное мероприятие "Организация транспортного обслуживания населения между поселениями в границах Шкотовского муниципального округа"</t>
  </si>
  <si>
    <t>Подпрограмма "Развитие дорожной отрасли в Шкотовском муниципальном округа на 2022-2027 годы"</t>
  </si>
  <si>
    <t>Основное мероприятие "Поддержка дорожного хозяйства Шкотовского муниципального округа"</t>
  </si>
  <si>
    <t>Ремонт автомобильных дорог муниципального значения на территории Шкотовского муниципального округа</t>
  </si>
  <si>
    <t>Содержание автомобильных дорог муниципального значения на территории Шкотовского муниципального округа</t>
  </si>
  <si>
    <t>Муниципальная программа "Развитие и поддержка малого и среднего предпринимательства в Шкотовском муниципальном округе на 2021-2027 годы</t>
  </si>
  <si>
    <t>Подпрограмма "Развитие и поддержка малого и среднего предпринимательства в Шкотовском муниципальномокруге на 2021-2027 годы"</t>
  </si>
  <si>
    <t>Муниципальная программа "Формирование здорового образа жизни и профилактика заболеваний в Шкотовском муниципальном округе на 2021-2027 годы"</t>
  </si>
  <si>
    <t>Подпрограмма  "Укрепление общественного здоровья в Шкотовском муниципальном округе на 2021-2027 годы"</t>
  </si>
  <si>
    <t>Совершенствование медико-гигиенического воспитания по профилактике заболеваний</t>
  </si>
  <si>
    <t>03 4 00 00000</t>
  </si>
  <si>
    <t>Подпрограмма "Социальная поддержка отдельных граждан в Шкотовском муниципальном округе"</t>
  </si>
  <si>
    <t>03 4 01 10090</t>
  </si>
  <si>
    <t>03 4 01 00000</t>
  </si>
  <si>
    <t>Основное мероприятие "Выплата пенсий и доплат к пенсии"</t>
  </si>
  <si>
    <t>Основное мероприятие "Меры социальной поддержки детей-сирот и детей, оставшихся без попечения родителей"</t>
  </si>
  <si>
    <t>03 2 02 00000</t>
  </si>
  <si>
    <t>03 2 02 93090</t>
  </si>
  <si>
    <t>Муниципальная программа "Обеспечение доступным жильем и качественными услугами жилищно-коммунального хозяйства населения Шкотовского округа на 2020-2027 годы"</t>
  </si>
  <si>
    <t>Подпрограмма "Обеспечение жильём молодых семей Шкотовского муниципального округа"</t>
  </si>
  <si>
    <t>06 3 01 00000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</si>
  <si>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родителей"</t>
  </si>
  <si>
    <t>03 3 00 00000</t>
  </si>
  <si>
    <t>Основное мероприятие "Мероприятия по адаптации приоритетных объектов социальной, транспортной, инженерной структуры для обеспечения доступности получения услуг инвалидами и другими маломобильными группами населения"</t>
  </si>
  <si>
    <t>Муниципальная программа "Развитие физической культуры и спорта в Шкотовском муниципальном округе  на 2020-2027 годы"</t>
  </si>
  <si>
    <t>Подпрограмма "Развитие массовой физической культуры и спорта в Шкотовском муниципальном округе"</t>
  </si>
  <si>
    <t>09 1 01 S2190</t>
  </si>
  <si>
    <t>09 1 01 20130</t>
  </si>
  <si>
    <t>09 1 01 20120</t>
  </si>
  <si>
    <t>09 1 01 00000</t>
  </si>
  <si>
    <t>09 1 01 70590</t>
  </si>
  <si>
    <t>Муниципальная программа Шкотовского муниципального округа "Информационное общество" на 2020-2027 годы</t>
  </si>
  <si>
    <t>Подпрограмма "Информационная среда"</t>
  </si>
  <si>
    <t>11 2 01 00000</t>
  </si>
  <si>
    <t>Основное мероприятие "Информирование населения  Шкотовского муниципального округа</t>
  </si>
  <si>
    <t>Расходы на обеспечение деятельности (оказание услуг, выполнение работ) муниципальных учреждений (МБУ Редакция СМИ)</t>
  </si>
  <si>
    <t>11 2 01 70590</t>
  </si>
  <si>
    <t>99 9 99 10080</t>
  </si>
  <si>
    <t>Организация выполнения и осуществления мер пожарной безопасности</t>
  </si>
  <si>
    <t>Подпрограмма "Развитие цифровой экономики в Шкотовском муниципальном округе"</t>
  </si>
  <si>
    <t>Основное мероприятие "Реализация мероприятий по информационной безопасности"</t>
  </si>
  <si>
    <t>11 1 01 00000</t>
  </si>
  <si>
    <t>Реализация мероприятий по информационной безопасности</t>
  </si>
  <si>
    <t>11 1 01 20180</t>
  </si>
  <si>
    <t>Размещение социальной рекламы на объектах наружной рекламы, расположенных на территории Шкотовского муниципального округа</t>
  </si>
  <si>
    <t>11 2 01 20150</t>
  </si>
  <si>
    <t>11 2 01 20070</t>
  </si>
  <si>
    <t>Информирование населения о реализации муниципальных программ Шкотовского муниципального округа, социально значимых проектов и мероприятий на официальном сайте администрации Шкотовского муниципального округа</t>
  </si>
  <si>
    <t>Муниципальная программа Шкотовского муниципального округа "Безопасный город" на 2024-2027 годы</t>
  </si>
  <si>
    <t>Подпрограмма "Комплексные меры профилактики правонарушений, экстремизма и терроризма, незаконного потребления наркотических средств и психотропных веществ в Шкотовском муниципальном округе"</t>
  </si>
  <si>
    <t>Основное мероприятие "Профилактиа незаконного потребления наркотических средств и психотропных веществ в Шкотовском муниципальном округе</t>
  </si>
  <si>
    <t>18 1 01 20160</t>
  </si>
  <si>
    <t>18 1 01 00000</t>
  </si>
  <si>
    <t>Проведение мероприятий по профилактике и  незаконного потребления наркотических средств и психотропных веществ в Шкотовском муниципальном округе</t>
  </si>
  <si>
    <t xml:space="preserve">Основное мероприятие "Формирование нетерпимого отношения к проявлениям терроризма и экстремизма,   повышение уровня антитеррористической защищенности объектов </t>
  </si>
  <si>
    <t>02 5 02 20340</t>
  </si>
  <si>
    <t xml:space="preserve">Материальная поддержка педагогов, выпускники которых получили от 80-100 баллов по результатам сдачи ЕГЭ </t>
  </si>
  <si>
    <t>99 9 99 93120</t>
  </si>
  <si>
    <t>02 3 03 20050</t>
  </si>
  <si>
    <t>02 3 03 00000</t>
  </si>
  <si>
    <t>Подпрограмма "Создание условий для обеспечения качественными услугами жилищно-коммунального хозяйства Шкотовского муниципального округа"</t>
  </si>
  <si>
    <t>Основное мероприятие "Поддержка организаций коммунального хозяйства"</t>
  </si>
  <si>
    <t>06 6 02 00000</t>
  </si>
  <si>
    <t>06 6 02 60050</t>
  </si>
  <si>
    <t>06 6 02 60040</t>
  </si>
  <si>
    <t>Субсидии на возмещение затрат на оплату жилищных услуг и услуг отопления жилых помещений семей военослужащих в зоне СВО</t>
  </si>
  <si>
    <t>Подпрограмма "Подпрограмма "Обеспечение деятельности органов исполнительной власти""</t>
  </si>
  <si>
    <t>06 9 00 00000</t>
  </si>
  <si>
    <t>06 9 01 00000</t>
  </si>
  <si>
    <t>06 9 01 20320</t>
  </si>
  <si>
    <t>Основное мероприятие "Капитальный ремонт многоквартирных домов Шкотовского муниципального округа"</t>
  </si>
  <si>
    <t>Основное мероприятие "Поддержка муниципальных программ в сфере водоснабжения, водоотведения и водоочистки"</t>
  </si>
  <si>
    <t>06 6 01 00000</t>
  </si>
  <si>
    <t>Капитальный ремонт объектов централизованного водоотведения с. Анисимовка</t>
  </si>
  <si>
    <t>06 6 01 20350</t>
  </si>
  <si>
    <t>Софинансирование из местного бюджета мероприятий по проектированию и (или) строительству, реконструкции, модернизации и капитальному ремонту объектов водопроводно-канализационного хозяйства (Строительство уличного водовода с колонками в п. Подъяпольское)</t>
  </si>
  <si>
    <t>06 6 02 60060</t>
  </si>
  <si>
    <t>Субсидии на возмещение затрат на оплату услуг по обеспечению твердым топливом семей военослужащих в зоне СВО</t>
  </si>
  <si>
    <t>06 6 04 00000</t>
  </si>
  <si>
    <t>Основное мероприятие "Обустройство и содержание контейнерных площадок временного размещения ТКО на территории сельских поселений"</t>
  </si>
  <si>
    <t>Меропрятия по обустройству и содержанию контейнерных площадок временного размещения ТКО</t>
  </si>
  <si>
    <t>06 6 04 20420</t>
  </si>
  <si>
    <t>Содержание и обслуживание казны Шкотовского муниципального округа</t>
  </si>
  <si>
    <t>99 9 99 20260</t>
  </si>
  <si>
    <t>20 1 00 00000</t>
  </si>
  <si>
    <t>20 1 02 00000</t>
  </si>
  <si>
    <t>20 1 02 S2610</t>
  </si>
  <si>
    <t>Муниципальная программа "Энергоэффективность, развитие газоснабжения и энергетики в Шкотовском муниципальном округе на 2020-2027 годы"</t>
  </si>
  <si>
    <t>Подпрограмма "Создание и развитие системы газоснабжения Шкотовского муниципального округа на 2020-2027 годы"</t>
  </si>
  <si>
    <t>Подпрограмма "Развитие сферы ритуальных услуг на территории Шкотовского муниципального округа"</t>
  </si>
  <si>
    <t>Основное мероприятие "Развитие сферы ритуальных услуг на территории Шкотовского муниципального округа"</t>
  </si>
  <si>
    <t>13 2 00 00000</t>
  </si>
  <si>
    <t>13 2 01 00000</t>
  </si>
  <si>
    <t>Софинансирование из местного бюджета на проектирование, строительство, капитальный ремонт и ремонт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и гражданам, имеющим двух детей, а также молодым семьям</t>
  </si>
  <si>
    <t>12 2 03 S2380</t>
  </si>
  <si>
    <t>Софинансирование из местного бюджета на мероприятия по обеспечению комплексного развития сельских территорий (строительство и реконструкция (модернизация), капитальный ремонт объектов государственных или муниципальных дошкольных образовательных организаций</t>
  </si>
  <si>
    <t>02 2 07 00000</t>
  </si>
  <si>
    <t>Софинансирование из местного бюджета на мероприятия по обеспечению комплексного развития сельских территорий (строительство и реконструкция (модернизация), капитальный ремонт объектов государственных или муниципальных общеобразовательных организаций)</t>
  </si>
  <si>
    <t>02 2 07 L5764</t>
  </si>
  <si>
    <t>02 6 EВ 00000</t>
  </si>
  <si>
    <t>02 6 EВ 51790</t>
  </si>
  <si>
    <t>02 1 03 00000</t>
  </si>
  <si>
    <t>02 1 03 L5764</t>
  </si>
  <si>
    <t>13 2 01 S2170</t>
  </si>
  <si>
    <t>Глава Шкотовского муниципального округа</t>
  </si>
  <si>
    <t>Субвенции на осуществление полномочий Российской Федерации по государственной регистрации актов гражданского состояния за счет средств краевого бюджета</t>
  </si>
  <si>
    <t>Основное мероприятие "Газоснабжение и газификация Шкотовского муниципального округа"</t>
  </si>
  <si>
    <t>Основное мероприятие "Обеспечение жильём молодых семей Шкотовского муниципального округа"</t>
  </si>
  <si>
    <t xml:space="preserve">Подпрограмма "Организация обслуживания населения Шкотовского округа, комплектование и обеспечение сохранности библиотечных фондов библиотек поселений Шкотовского округа" (централизованная библиотечная система) </t>
  </si>
  <si>
    <t>Основное мероприятие "Обеспечение деятельности Муниципального казенного учреждения "Управление образованием"  Шкотовского муниципального округа"</t>
  </si>
  <si>
    <t>Председатель Думы Шкотовского округа</t>
  </si>
  <si>
    <t>Депутаты Думы Шкотовского округа</t>
  </si>
  <si>
    <t>Представительские и иные прочие расходы в органах местного самоуправления Шкотовского муниципального округа</t>
  </si>
  <si>
    <t>03 3 01 20090</t>
  </si>
  <si>
    <t>03 2 01 93050</t>
  </si>
  <si>
    <t>Приспособление жилых помещений, в которых проживают инвалиды, и общего имущества многоквартирных домов к беспрепятственному доступу инвалидов</t>
  </si>
  <si>
    <t>03 3 01 00000</t>
  </si>
  <si>
    <t>03 3 01 20080</t>
  </si>
  <si>
    <t xml:space="preserve">Обеспечение беспрепятственного доступа инвалидов к объектам социальной инфраструктуры и информации </t>
  </si>
  <si>
    <t>Подпрограмма "Организация досуга и обеспечение населения Шкотовского муниципального округа услугами организации культуры" (клубная система)</t>
  </si>
  <si>
    <t>Основное мероприятие "Обеспечение деятельности Муниципального казенного учреждения "Культурно-информационный методический центр"  Шкотовского муниципального округа"</t>
  </si>
  <si>
    <t>05 4 01 00000</t>
  </si>
  <si>
    <t>07 1 01 00000</t>
  </si>
  <si>
    <t>Основное мероприятие "Развитие материально-технической базы для защиты населения и территории от чрезвычайных ситуаций"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</si>
  <si>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</si>
  <si>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18 1 03 00000</t>
  </si>
  <si>
    <t>19 1 01 20270</t>
  </si>
  <si>
    <t>Софинансирование из местного бюджета края на на реализацию федеральной целевой программы "Увековечение памяти погибших при защите Отечества на 2019 - 2024 годы"</t>
  </si>
  <si>
    <t>99 9 99 10040</t>
  </si>
  <si>
    <t>Основное мероприятие "Капитальный ремонт спортивной площадки МБУ СОШ № 15 в пос. Штыково"  проекта "Комплексное развитие поселка Штыково   Шкотовского муниципального округа Приморского края"</t>
  </si>
  <si>
    <t xml:space="preserve">Подпрограмма "Патриотическое воспитание жителей Шкотовского муниципального округа Приморского края" 
</t>
  </si>
  <si>
    <t>Муниципальная программа "Формирование современной городской среды Шкотовского муниципального округа" на 2024-2027 годы</t>
  </si>
  <si>
    <t>Основное мероприятие " Мероприятия по благоустройству территорий, детских и спортивных площадок" Шкотовского муниципального округа"</t>
  </si>
  <si>
    <t>Муниципальная программа "Развитие образования Шкотовского муниципального округа" на 2024 – 2027 годы</t>
  </si>
  <si>
    <t>Основное мероприятие "Облицовка фасада МБДОУ № 47 "Рябинушка пос. Штыково по адресу ул. Гидроузла 6"  проекта "Комплексное развитие поселка Штыково Шкотовского муниципального округа Приморского края "</t>
  </si>
  <si>
    <t>Подпрограмма "Реализация образовательных программ общего образования"</t>
  </si>
  <si>
    <t>Подпрограмма "Развитие системы воспитания, дополнительного образования, отдыха, оздоровления и занятости детей и подростков Шкотовского муниципального округа"</t>
  </si>
  <si>
    <t>Основное мероприятие "Реализация мероприятий, направленных на привлечение детей и молодежи к участию в районных и краевых массовых  мероприятиях и повышение качества жизни детей"</t>
  </si>
  <si>
    <t>Реализация национального проекта "Образование</t>
  </si>
  <si>
    <t>"Формирование современной городской среды Шкотовского муниципального округа" на 2024-2027 годы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</si>
  <si>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по государственной регистрации актов гражданского состояния</t>
  </si>
  <si>
    <t>99 9 99 10100</t>
  </si>
  <si>
    <t>02 5 02 80010</t>
  </si>
  <si>
    <t>07 1 01 20360</t>
  </si>
  <si>
    <t>Предоставление мер социальной поддержки педагогическим работникам муниципальных бюджетных учреждений Шкотовского муниципального округа</t>
  </si>
  <si>
    <t>17 2 03 20370</t>
  </si>
  <si>
    <t>99 9 99 93010</t>
  </si>
  <si>
    <t>99 9 99 93030</t>
  </si>
  <si>
    <t>07 1 01 20380</t>
  </si>
  <si>
    <t>Мероприятия по локализации и ликвидации различных очагов повышенной опасности на участках водных объектов в связи с нарушением пропускной способности русел рек</t>
  </si>
  <si>
    <t>Муниципальная программа "Патриотическое воспитание граждан, реализация государственной национальной политики и развитие институтов гражданского общества на территории Приморского края" на 2020-2027 годы"</t>
  </si>
  <si>
    <t>Субсидии бюджетам муниципальных образований на мероприятия по созданию и развитию системы газоснабжения муниципальных образований</t>
  </si>
  <si>
    <t>Субсидии из краевого бюджета бюджетам муниципальных образований Приморского края на реализацию федеральной целевой программы "Увековечение памяти погибших при защите Отечества на 2019 - 2024 годы"</t>
  </si>
  <si>
    <t>Компенсационные выплаты на возмещение затрат многодетных семей на обеспечение земельных участков инженерной инфраструктурой ВКХ</t>
  </si>
  <si>
    <t>Содержание общественных кладбищ Шкотовского муниципального округа</t>
  </si>
  <si>
    <t>Субвенции на реализацию государственных полномочий в сфере транспортного обслуживания по муниципальным маршрутам в границах муниципальных образований</t>
  </si>
  <si>
    <t>03 3 02 00000</t>
  </si>
  <si>
    <t>03 3 02 20020</t>
  </si>
  <si>
    <t>Организация культурных и спортивных мероприятий, с участием людей с ограниченными возможностями"</t>
  </si>
  <si>
    <t>Основное мероприятие "Организация культурных и спортивных мероприятий, с участием людей с ограниченными возможностями"</t>
  </si>
  <si>
    <t>14 0 00 00000</t>
  </si>
  <si>
    <t>14 1 00 00000</t>
  </si>
  <si>
    <t>Муниципальная программа "Комплексные кадастровые работы на территории Шкотовского муниципального округа Приморского края на период 2024-2027 годы"</t>
  </si>
  <si>
    <t>Подпрограмма "Постановка на кадастровый учет земельных участков сельскохозяйственного назначения"</t>
  </si>
  <si>
    <t>Основное мероприятие  "Подготовка проектов межевания земельных участков и на проведение кадастровых работ"</t>
  </si>
  <si>
    <t>14 1 01 00000</t>
  </si>
  <si>
    <t>14 1 01 L5990</t>
  </si>
  <si>
    <t>Субсидии бюджетам на подготовку проектов межевания земельных участков и на проведение кадастровых работ</t>
  </si>
  <si>
    <t>20 1 05 00000</t>
  </si>
  <si>
    <t>Основное мероприятие "Реализация проектов инициативного бюджетирования по направлению "Твой проект""</t>
  </si>
  <si>
    <t>20 1 05 S2361</t>
  </si>
  <si>
    <t>20 1 05 S2362</t>
  </si>
  <si>
    <t>Реализация проектов инициативного бюджетирования по направлению "Твой проект" ("Благоустройство территории Центропарка" с. Центральное)</t>
  </si>
  <si>
    <t>Софинансирование из местного бюджета на реализацию проектов инициативного бюджетирования по направлению "Твой проект" ("Благоустройство территории Центропарка" с. Центральное)</t>
  </si>
  <si>
    <t>Реализация проектов инициативного бюджетирования по направлению "Твой проект" (Школьный двор - мир моего детства МБОУ "СОШ № 26 пос. Новонежино")</t>
  </si>
  <si>
    <t>Софинансирование из местного бюджета на реализацию проектов инициативного бюджетирования по направлению "Твой проект" (Школьный двор - мир моего детства МБОУ "СОШ № 26 пос. Новонежино")</t>
  </si>
  <si>
    <t>02 2 03 S2751</t>
  </si>
  <si>
    <t>02 2 03 S2752</t>
  </si>
  <si>
    <t>Реализация проектов инициативного бюджетирования по направлению "Молодежный бюджет" ("Здравствуй, школа!" МБОУ "СОШ № 15. пос. Штыково")</t>
  </si>
  <si>
    <t>Софинансирование из местного бюджета на реализацию проектов инициативного бюджетирования по направлению "Молодежный бюджет" ("Здравствуй, школа!" МБОУ "СОШ № 15. пос. Штыково")</t>
  </si>
  <si>
    <t>Реализация проектов инициативного бюджетирования по направлению "Молодежный бюджет" ("Благоустройство Школьного двора МБОУ "СОШ № 25 с. Романовка")</t>
  </si>
  <si>
    <t>Софинансирование из местного бюджета на реализацию проектов инициативного бюджетирования по направлению "Молодежный бюджет" ("Благоустройство Школьного двора МБОУ "СОШ № 25 с. Романовка")</t>
  </si>
  <si>
    <t>05 3 А1 00000</t>
  </si>
  <si>
    <t>Региональный проект "Культурная среда"</t>
  </si>
  <si>
    <t>05 3 A1 55130</t>
  </si>
  <si>
    <t>Субсидии из краевого бюджета на развитие сети учреждений культурно-досугового типа</t>
  </si>
  <si>
    <t>Софинансирование из местного бюджета на развитие сети учреждений культурно-досугового типа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</si>
  <si>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помещениями,  за счет средств краевого бюджета</t>
  </si>
  <si>
    <t>06 5 01 93210</t>
  </si>
  <si>
    <t>12 2 R1 S2440</t>
  </si>
  <si>
    <t>Софинансирование с местного бюджета на финансовое обеспечение дорожной деятельности на автомобильных дорогах местного значения на территории Приморского края</t>
  </si>
  <si>
    <t>Финансовое обеспечение дорожной деятельности на автомобильных дорогах местного значения на территории Приморского края</t>
  </si>
  <si>
    <t>Субсидии бюджетам муниципальных округов на обеспечение комплексного развития сельских территорий (Обеспечение комплексного развития сельских территорий (строительство и реконструкция (модернизация), капитальный ремонт объектов государственных или муниципальных дошкольных образовательных организаций)</t>
  </si>
  <si>
    <t>Субсидии бюджетам муниципальных округов на обеспечение комплексного развития сельских территорий (Обеспечение комплексного развития сельских территорий (строительство и реконструкция (модернизация), капитальный ремонт объектов муниципальных общеобразовательных организаций, приобретение оборудования и транспортных средств)</t>
  </si>
  <si>
    <r>
  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 </t>
    </r>
    <r>
      <rPr>
        <b/>
        <sz val="12"/>
        <rFont val="Times New Roman"/>
        <family val="1"/>
        <charset val="204"/>
      </rPr>
      <t>(финансовое обеспечение государсчтвенных полномочий по обеспечению жилыми помещениями детей сирот)</t>
    </r>
  </si>
  <si>
    <t>Основное мероприятие "Развитие массовой физической культуры и спорта в Шкотовском муниципальном округе"</t>
  </si>
  <si>
    <t>Основное мероприятие 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 (Спорт - норма жизни)""</t>
  </si>
  <si>
    <t>09 1 P5 00000</t>
  </si>
  <si>
    <t>09 1 P5 51390</t>
  </si>
  <si>
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спортом. Строительство объекта: «Стадион на 300 мест а пгт. Шкотово Шкотовского округа Приморского края»</t>
  </si>
  <si>
    <t>Обеспечение мероприятий на реализацию проектов, инициируемых жителями поселения в сфере благоустройства территории за счет средств краевого бюджета (ТОС)</t>
  </si>
  <si>
    <t>99 9 99 94030</t>
  </si>
  <si>
    <t>21 0 00 00000</t>
  </si>
  <si>
    <t>21 1 00 00000</t>
  </si>
  <si>
    <t>21 1 01 00000</t>
  </si>
  <si>
    <t>21 1 01 20310</t>
  </si>
  <si>
    <t>Подпрограмма "Противодействие коррупции в Шкотовском муниципальном округе на 2022-2025 годы"</t>
  </si>
  <si>
    <t>Основное мероприятие "Обеспечение защиты прав и законных интересов граждан, общества и государства от коррупции, устранение причин и условий, порождающих коррупцию в Шкотовском муниципальном округе"</t>
  </si>
  <si>
    <t>Обеспечение защиты прав и законных интересов граждан, общества и государства от коррупции, устранение причин и условий, порождающих коррупцию в Шкотовском муниципальном округе</t>
  </si>
  <si>
    <t>02 2 01 50050</t>
  </si>
  <si>
    <t>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</si>
  <si>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Приложение № 5</t>
  </si>
  <si>
    <t>% исполнения от первоначального плана</t>
  </si>
  <si>
    <t>% исполнения от плана с учетом внесенных изменений</t>
  </si>
  <si>
    <t>6=4-5</t>
  </si>
  <si>
    <t>7=5/3*100</t>
  </si>
  <si>
    <t>9=5/4*100</t>
  </si>
  <si>
    <t>Первоначальный бюджет на 2024 год (№ 24-МПА от 19.12.2023)</t>
  </si>
  <si>
    <t>Исполнено на 01 января 2025 года</t>
  </si>
  <si>
    <t>Пояснения от плана с учетом внесенных изменений (отклонения 5%)</t>
  </si>
  <si>
    <t>Пояснения от первоначального плана (отклонения 5%)</t>
  </si>
  <si>
    <t>(в рублях)</t>
  </si>
  <si>
    <t xml:space="preserve">Отчет об исполнении расходной части бюджета Шкотовского муниципального округа на 01 января 2025 год по муниципальным программам и непрограммным направлениям деятельности </t>
  </si>
  <si>
    <t>Назначено с учетом внесенных изменений на 2024 год (декабрь 2024)Решение №37-МПА от 24.12.2024</t>
  </si>
  <si>
    <t>Шкотовского муниципального округа</t>
  </si>
  <si>
    <t>Отклонения от плана с учетом внесенных изменений      (+,-)</t>
  </si>
  <si>
    <t>Муниципальная программа "Противодействие коррупции в Шкотовском муниципальном округе на 2022-2025 годы"</t>
  </si>
  <si>
    <t>от 24.06.2025 г. № 07-МПА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</si>
</sst>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000"/>
  </numFmts>
  <fonts count="14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color indexed="8"/>
      <name val="Arial Cyr"/>
    </font>
    <font>
      <b/>
      <sz val="13"/>
      <name val="Times New Roman"/>
      <family val="1"/>
      <charset val="204"/>
    </font>
    <font>
      <sz val="14"/>
      <name val="Times New Roman"/>
      <family val="1"/>
    </font>
    <font>
      <sz val="14"/>
      <name val="Times New Roman"/>
      <family val="1"/>
      <charset val="204"/>
    </font>
    <font>
      <sz val="14"/>
      <name val="Arial Cyr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1">
      <alignment vertical="top" wrapText="1"/>
    </xf>
    <xf numFmtId="0" fontId="1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5" fillId="2" borderId="0" xfId="0" applyFont="1" applyFill="1"/>
    <xf numFmtId="0" fontId="2" fillId="2" borderId="0" xfId="0" applyFont="1" applyFill="1" applyAlignment="1"/>
    <xf numFmtId="0" fontId="3" fillId="2" borderId="0" xfId="0" applyFont="1" applyFill="1"/>
    <xf numFmtId="0" fontId="0" fillId="2" borderId="0" xfId="0" applyFont="1" applyFill="1"/>
    <xf numFmtId="0" fontId="2" fillId="2" borderId="0" xfId="0" applyFont="1" applyFill="1" applyAlignment="1">
      <alignment wrapText="1"/>
    </xf>
    <xf numFmtId="4" fontId="0" fillId="2" borderId="0" xfId="0" applyNumberFormat="1" applyFont="1" applyFill="1" applyAlignment="1">
      <alignment horizontal="right"/>
    </xf>
    <xf numFmtId="4" fontId="2" fillId="2" borderId="0" xfId="0" applyNumberFormat="1" applyFont="1" applyFill="1"/>
    <xf numFmtId="0" fontId="2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4" fontId="4" fillId="2" borderId="0" xfId="0" applyNumberFormat="1" applyFont="1" applyFill="1"/>
    <xf numFmtId="49" fontId="6" fillId="2" borderId="2" xfId="0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wrapText="1"/>
    </xf>
    <xf numFmtId="4" fontId="6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11" fontId="7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4" fontId="6" fillId="2" borderId="2" xfId="3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top" wrapText="1"/>
    </xf>
    <xf numFmtId="0" fontId="6" fillId="2" borderId="2" xfId="2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top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vertical="top"/>
    </xf>
    <xf numFmtId="4" fontId="3" fillId="2" borderId="0" xfId="0" applyNumberFormat="1" applyFont="1" applyFill="1"/>
    <xf numFmtId="4" fontId="3" fillId="2" borderId="0" xfId="0" applyNumberFormat="1" applyFont="1" applyFill="1" applyAlignment="1">
      <alignment vertical="top"/>
    </xf>
    <xf numFmtId="165" fontId="7" fillId="2" borderId="2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2" fontId="0" fillId="2" borderId="0" xfId="0" applyNumberFormat="1" applyFont="1" applyFill="1" applyAlignment="1">
      <alignment vertical="top"/>
    </xf>
    <xf numFmtId="0" fontId="13" fillId="2" borderId="0" xfId="0" applyFont="1" applyFill="1" applyAlignment="1">
      <alignment horizontal="right"/>
    </xf>
    <xf numFmtId="2" fontId="9" fillId="2" borderId="0" xfId="0" applyNumberFormat="1" applyFont="1" applyFill="1" applyAlignment="1">
      <alignment horizontal="center" wrapText="1"/>
    </xf>
  </cellXfs>
  <cellStyles count="4">
    <cellStyle name="xl33" xfId="1"/>
    <cellStyle name="Обычный" xfId="0" builtinId="0"/>
    <cellStyle name="Обычный_Приложение 6, 7 раздел подраздел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67"/>
  <sheetViews>
    <sheetView showGridLines="0" tabSelected="1" view="pageBreakPreview" topLeftCell="A28" zoomScale="70" zoomScaleSheetLayoutView="70" workbookViewId="0">
      <selection activeCell="J7" sqref="J7"/>
    </sheetView>
  </sheetViews>
  <sheetFormatPr defaultColWidth="8.88671875" defaultRowHeight="13.2" outlineLevelRow="5"/>
  <cols>
    <col min="1" max="1" width="62.44140625" style="4" customWidth="1"/>
    <col min="2" max="2" width="15.88671875" style="4" customWidth="1"/>
    <col min="3" max="3" width="20.5546875" style="4" customWidth="1"/>
    <col min="4" max="4" width="19.44140625" style="65" customWidth="1"/>
    <col min="5" max="5" width="19.33203125" style="4" customWidth="1"/>
    <col min="6" max="6" width="16.6640625" style="4" customWidth="1"/>
    <col min="7" max="7" width="19" style="4" customWidth="1"/>
    <col min="8" max="8" width="17.44140625" style="4" customWidth="1"/>
    <col min="9" max="9" width="22.33203125" style="4" customWidth="1"/>
    <col min="10" max="10" width="20.44140625" style="4" customWidth="1"/>
    <col min="11" max="16384" width="8.88671875" style="4"/>
  </cols>
  <sheetData>
    <row r="1" spans="1:13" ht="16.2" customHeight="1">
      <c r="A1" s="1"/>
      <c r="B1" s="2"/>
      <c r="C1" s="2"/>
      <c r="D1" s="3"/>
      <c r="G1" s="66" t="s">
        <v>440</v>
      </c>
      <c r="H1" s="66"/>
      <c r="I1" s="66"/>
      <c r="J1" s="66"/>
    </row>
    <row r="2" spans="1:13" ht="27.15" customHeight="1">
      <c r="A2" s="1"/>
      <c r="B2" s="2"/>
      <c r="C2" s="2"/>
      <c r="D2" s="3"/>
      <c r="G2" s="66" t="s">
        <v>30</v>
      </c>
      <c r="H2" s="66"/>
      <c r="I2" s="66"/>
      <c r="J2" s="66"/>
    </row>
    <row r="3" spans="1:13" ht="16.2" customHeight="1">
      <c r="A3" s="1"/>
      <c r="B3" s="2"/>
      <c r="C3" s="2"/>
      <c r="D3" s="3"/>
      <c r="G3" s="66" t="s">
        <v>453</v>
      </c>
      <c r="H3" s="66"/>
      <c r="I3" s="66"/>
      <c r="J3" s="66"/>
    </row>
    <row r="4" spans="1:13" ht="16.2" customHeight="1">
      <c r="A4" s="1"/>
      <c r="B4" s="5"/>
      <c r="C4" s="5"/>
      <c r="D4" s="3"/>
      <c r="G4" s="66" t="s">
        <v>456</v>
      </c>
      <c r="H4" s="66"/>
      <c r="I4" s="66"/>
      <c r="J4" s="66"/>
    </row>
    <row r="5" spans="1:13" s="8" customFormat="1" ht="46.95" customHeight="1">
      <c r="A5" s="67" t="s">
        <v>451</v>
      </c>
      <c r="B5" s="67"/>
      <c r="C5" s="67"/>
      <c r="D5" s="67"/>
      <c r="E5" s="67"/>
      <c r="F5" s="67"/>
      <c r="G5" s="67"/>
      <c r="H5" s="67"/>
      <c r="I5" s="67"/>
      <c r="J5" s="67"/>
      <c r="K5" s="6"/>
      <c r="L5" s="6"/>
      <c r="M5" s="7"/>
    </row>
    <row r="6" spans="1:13" s="8" customFormat="1" ht="28.95" customHeight="1">
      <c r="A6" s="9"/>
      <c r="B6" s="9"/>
      <c r="C6" s="10"/>
      <c r="D6" s="11"/>
      <c r="E6" s="11"/>
      <c r="F6" s="11"/>
      <c r="G6" s="10"/>
      <c r="H6" s="10"/>
      <c r="I6" s="12"/>
      <c r="J6" s="13" t="s">
        <v>450</v>
      </c>
      <c r="K6" s="7"/>
      <c r="L6" s="7"/>
      <c r="M6" s="7"/>
    </row>
    <row r="7" spans="1:13" s="8" customFormat="1" ht="124.8">
      <c r="A7" s="16" t="s">
        <v>25</v>
      </c>
      <c r="B7" s="16" t="s">
        <v>26</v>
      </c>
      <c r="C7" s="63" t="s">
        <v>446</v>
      </c>
      <c r="D7" s="64" t="s">
        <v>452</v>
      </c>
      <c r="E7" s="15" t="s">
        <v>447</v>
      </c>
      <c r="F7" s="15" t="s">
        <v>454</v>
      </c>
      <c r="G7" s="14" t="s">
        <v>441</v>
      </c>
      <c r="H7" s="14" t="s">
        <v>449</v>
      </c>
      <c r="I7" s="15" t="s">
        <v>442</v>
      </c>
      <c r="J7" s="15" t="s">
        <v>448</v>
      </c>
      <c r="K7" s="7"/>
      <c r="L7" s="7"/>
      <c r="M7" s="7"/>
    </row>
    <row r="8" spans="1:13" s="8" customFormat="1" ht="43.95" customHeight="1">
      <c r="A8" s="16">
        <v>1</v>
      </c>
      <c r="B8" s="16">
        <v>2</v>
      </c>
      <c r="C8" s="17">
        <v>3</v>
      </c>
      <c r="D8" s="16">
        <v>4</v>
      </c>
      <c r="E8" s="17">
        <v>5</v>
      </c>
      <c r="F8" s="16" t="s">
        <v>443</v>
      </c>
      <c r="G8" s="17" t="s">
        <v>444</v>
      </c>
      <c r="H8" s="17">
        <v>8</v>
      </c>
      <c r="I8" s="16" t="s">
        <v>445</v>
      </c>
      <c r="J8" s="17">
        <v>10</v>
      </c>
      <c r="K8" s="7"/>
      <c r="L8" s="7"/>
      <c r="M8" s="7"/>
    </row>
    <row r="9" spans="1:13" s="20" customFormat="1" ht="46.8">
      <c r="A9" s="18" t="s">
        <v>236</v>
      </c>
      <c r="B9" s="18" t="s">
        <v>2</v>
      </c>
      <c r="C9" s="19">
        <f>C10</f>
        <v>300000</v>
      </c>
      <c r="D9" s="19">
        <f t="shared" ref="D9:E10" si="0">D10</f>
        <v>300000</v>
      </c>
      <c r="E9" s="19">
        <f t="shared" si="0"/>
        <v>299999.5</v>
      </c>
      <c r="F9" s="19">
        <f>$D9-$E9</f>
        <v>0.5</v>
      </c>
      <c r="G9" s="19">
        <f>$E9/$C9*100</f>
        <v>100</v>
      </c>
      <c r="H9" s="19"/>
      <c r="I9" s="19">
        <f>$E9/$D9*100</f>
        <v>100</v>
      </c>
      <c r="J9" s="19"/>
      <c r="L9" s="21"/>
    </row>
    <row r="10" spans="1:13" s="20" customFormat="1" ht="31.2">
      <c r="A10" s="22" t="s">
        <v>237</v>
      </c>
      <c r="B10" s="18" t="s">
        <v>3</v>
      </c>
      <c r="C10" s="19">
        <f>C11</f>
        <v>300000</v>
      </c>
      <c r="D10" s="19">
        <f t="shared" si="0"/>
        <v>300000</v>
      </c>
      <c r="E10" s="19">
        <f t="shared" si="0"/>
        <v>299999.5</v>
      </c>
      <c r="F10" s="19">
        <f t="shared" ref="F10:F73" si="1">$D10-$E10</f>
        <v>0.5</v>
      </c>
      <c r="G10" s="19">
        <f t="shared" ref="G10:G73" si="2">$E10/$C10*100</f>
        <v>100</v>
      </c>
      <c r="H10" s="19"/>
      <c r="I10" s="19">
        <f t="shared" ref="I10:I73" si="3">$E10/$D10*100</f>
        <v>100</v>
      </c>
      <c r="J10" s="19"/>
      <c r="L10" s="21"/>
    </row>
    <row r="11" spans="1:13" s="3" customFormat="1" ht="31.2">
      <c r="A11" s="23" t="s">
        <v>238</v>
      </c>
      <c r="B11" s="24" t="s">
        <v>4</v>
      </c>
      <c r="C11" s="25">
        <v>300000</v>
      </c>
      <c r="D11" s="25">
        <v>300000</v>
      </c>
      <c r="E11" s="25">
        <v>299999.5</v>
      </c>
      <c r="F11" s="25">
        <f t="shared" si="1"/>
        <v>0.5</v>
      </c>
      <c r="G11" s="25">
        <f t="shared" si="2"/>
        <v>100</v>
      </c>
      <c r="H11" s="25"/>
      <c r="I11" s="25">
        <f t="shared" si="3"/>
        <v>100</v>
      </c>
      <c r="J11" s="25"/>
      <c r="L11" s="21"/>
    </row>
    <row r="12" spans="1:13" s="20" customFormat="1" ht="46.8">
      <c r="A12" s="26" t="s">
        <v>362</v>
      </c>
      <c r="B12" s="27" t="s">
        <v>0</v>
      </c>
      <c r="C12" s="19">
        <f>C13+C23+C44+C52+C59</f>
        <v>716572510.22000003</v>
      </c>
      <c r="D12" s="19">
        <f t="shared" ref="D12:E12" si="4">D13+D23+D44+D52+D59</f>
        <v>701181836.04999995</v>
      </c>
      <c r="E12" s="19">
        <f t="shared" si="4"/>
        <v>701091169.24000001</v>
      </c>
      <c r="F12" s="19">
        <f t="shared" si="1"/>
        <v>90666.81</v>
      </c>
      <c r="G12" s="19">
        <f t="shared" si="2"/>
        <v>97.84</v>
      </c>
      <c r="H12" s="19"/>
      <c r="I12" s="19">
        <f t="shared" si="3"/>
        <v>99.99</v>
      </c>
      <c r="J12" s="19"/>
      <c r="L12" s="21"/>
    </row>
    <row r="13" spans="1:13" s="20" customFormat="1" ht="31.2">
      <c r="A13" s="18" t="s">
        <v>178</v>
      </c>
      <c r="B13" s="22" t="s">
        <v>18</v>
      </c>
      <c r="C13" s="29">
        <f>C14+C18+C20</f>
        <v>186071010.91</v>
      </c>
      <c r="D13" s="29">
        <f t="shared" ref="D13:E13" si="5">D14+D18+D20</f>
        <v>190303515</v>
      </c>
      <c r="E13" s="29">
        <f t="shared" si="5"/>
        <v>190303305</v>
      </c>
      <c r="F13" s="29">
        <f t="shared" si="1"/>
        <v>210</v>
      </c>
      <c r="G13" s="29">
        <f t="shared" si="2"/>
        <v>102.27</v>
      </c>
      <c r="H13" s="29"/>
      <c r="I13" s="29">
        <f t="shared" si="3"/>
        <v>100</v>
      </c>
      <c r="J13" s="29"/>
      <c r="L13" s="21"/>
    </row>
    <row r="14" spans="1:13" s="20" customFormat="1" ht="31.2">
      <c r="A14" s="28" t="s">
        <v>111</v>
      </c>
      <c r="B14" s="22" t="s">
        <v>112</v>
      </c>
      <c r="C14" s="29">
        <f>C15+C16+C17</f>
        <v>185971010.91</v>
      </c>
      <c r="D14" s="29">
        <f t="shared" ref="D14:E14" si="6">D15+D16+D17</f>
        <v>190303515</v>
      </c>
      <c r="E14" s="29">
        <f t="shared" si="6"/>
        <v>190303305</v>
      </c>
      <c r="F14" s="29">
        <f t="shared" si="1"/>
        <v>210</v>
      </c>
      <c r="G14" s="29">
        <f t="shared" si="2"/>
        <v>102.33</v>
      </c>
      <c r="H14" s="29"/>
      <c r="I14" s="29">
        <f t="shared" si="3"/>
        <v>100</v>
      </c>
      <c r="J14" s="29"/>
      <c r="L14" s="21"/>
    </row>
    <row r="15" spans="1:13" s="20" customFormat="1" ht="31.2">
      <c r="A15" s="24" t="s">
        <v>42</v>
      </c>
      <c r="B15" s="30" t="s">
        <v>108</v>
      </c>
      <c r="C15" s="25">
        <f>105315775.91</f>
        <v>105315775.91</v>
      </c>
      <c r="D15" s="25">
        <f t="shared" ref="D15:E15" si="7">105315775.91-1300000-4622040.91</f>
        <v>99393735</v>
      </c>
      <c r="E15" s="25">
        <f t="shared" si="7"/>
        <v>99393735</v>
      </c>
      <c r="F15" s="25">
        <f t="shared" si="1"/>
        <v>0</v>
      </c>
      <c r="G15" s="25">
        <f t="shared" si="2"/>
        <v>94.38</v>
      </c>
      <c r="H15" s="25"/>
      <c r="I15" s="25">
        <f t="shared" si="3"/>
        <v>100</v>
      </c>
      <c r="J15" s="25"/>
      <c r="L15" s="21"/>
    </row>
    <row r="16" spans="1:13" s="20" customFormat="1" ht="78">
      <c r="A16" s="24" t="s">
        <v>44</v>
      </c>
      <c r="B16" s="30" t="s">
        <v>109</v>
      </c>
      <c r="C16" s="25">
        <f>453000</f>
        <v>453000</v>
      </c>
      <c r="D16" s="25">
        <f t="shared" ref="D16" si="8">453000+240000+1013550+170000</f>
        <v>1876550</v>
      </c>
      <c r="E16" s="25">
        <v>1876340</v>
      </c>
      <c r="F16" s="25">
        <f t="shared" si="1"/>
        <v>210</v>
      </c>
      <c r="G16" s="25">
        <f t="shared" si="2"/>
        <v>414.2</v>
      </c>
      <c r="H16" s="25"/>
      <c r="I16" s="25">
        <f t="shared" si="3"/>
        <v>99.99</v>
      </c>
      <c r="J16" s="25"/>
      <c r="L16" s="21"/>
    </row>
    <row r="17" spans="1:12" s="20" customFormat="1" ht="62.4">
      <c r="A17" s="24" t="s">
        <v>149</v>
      </c>
      <c r="B17" s="30" t="s">
        <v>110</v>
      </c>
      <c r="C17" s="31">
        <f>80202235</f>
        <v>80202235</v>
      </c>
      <c r="D17" s="31">
        <f t="shared" ref="D17:E17" si="9">80202235+8830995</f>
        <v>89033230</v>
      </c>
      <c r="E17" s="31">
        <f t="shared" si="9"/>
        <v>89033230</v>
      </c>
      <c r="F17" s="31">
        <f t="shared" si="1"/>
        <v>0</v>
      </c>
      <c r="G17" s="31">
        <f t="shared" si="2"/>
        <v>111.01</v>
      </c>
      <c r="H17" s="31"/>
      <c r="I17" s="31">
        <f t="shared" si="3"/>
        <v>100</v>
      </c>
      <c r="J17" s="31"/>
      <c r="L17" s="21"/>
    </row>
    <row r="18" spans="1:12" s="20" customFormat="1" ht="31.2">
      <c r="A18" s="28" t="s">
        <v>179</v>
      </c>
      <c r="B18" s="22" t="s">
        <v>180</v>
      </c>
      <c r="C18" s="29">
        <f>C19</f>
        <v>0</v>
      </c>
      <c r="D18" s="29">
        <f t="shared" ref="D18:E18" si="10">D19</f>
        <v>0</v>
      </c>
      <c r="E18" s="29">
        <f t="shared" si="10"/>
        <v>0</v>
      </c>
      <c r="F18" s="29">
        <f t="shared" si="1"/>
        <v>0</v>
      </c>
      <c r="G18" s="29" t="e">
        <f t="shared" si="2"/>
        <v>#DIV/0!</v>
      </c>
      <c r="H18" s="29"/>
      <c r="I18" s="29" t="e">
        <f t="shared" si="3"/>
        <v>#DIV/0!</v>
      </c>
      <c r="J18" s="29"/>
      <c r="L18" s="21"/>
    </row>
    <row r="19" spans="1:12" s="3" customFormat="1" ht="62.4">
      <c r="A19" s="24" t="s">
        <v>163</v>
      </c>
      <c r="B19" s="30" t="s">
        <v>164</v>
      </c>
      <c r="C19" s="25">
        <v>0</v>
      </c>
      <c r="D19" s="25">
        <v>0</v>
      </c>
      <c r="E19" s="25">
        <v>0</v>
      </c>
      <c r="F19" s="25">
        <f t="shared" si="1"/>
        <v>0</v>
      </c>
      <c r="G19" s="25" t="e">
        <f t="shared" si="2"/>
        <v>#DIV/0!</v>
      </c>
      <c r="H19" s="25"/>
      <c r="I19" s="25" t="e">
        <f t="shared" si="3"/>
        <v>#DIV/0!</v>
      </c>
      <c r="J19" s="25"/>
      <c r="L19" s="21"/>
    </row>
    <row r="20" spans="1:12" s="20" customFormat="1" ht="62.4">
      <c r="A20" s="28" t="s">
        <v>363</v>
      </c>
      <c r="B20" s="22" t="s">
        <v>330</v>
      </c>
      <c r="C20" s="29">
        <f>C22+C21</f>
        <v>100000</v>
      </c>
      <c r="D20" s="29">
        <f t="shared" ref="D20:E20" si="11">D22+D21</f>
        <v>0</v>
      </c>
      <c r="E20" s="29">
        <f t="shared" si="11"/>
        <v>0</v>
      </c>
      <c r="F20" s="29">
        <f t="shared" si="1"/>
        <v>0</v>
      </c>
      <c r="G20" s="29">
        <f t="shared" si="2"/>
        <v>0</v>
      </c>
      <c r="H20" s="29"/>
      <c r="I20" s="29" t="e">
        <f t="shared" si="3"/>
        <v>#DIV/0!</v>
      </c>
      <c r="J20" s="29"/>
      <c r="L20" s="21"/>
    </row>
    <row r="21" spans="1:12" s="20" customFormat="1" ht="93.6">
      <c r="A21" s="24" t="s">
        <v>421</v>
      </c>
      <c r="B21" s="32" t="s">
        <v>331</v>
      </c>
      <c r="C21" s="25">
        <v>0</v>
      </c>
      <c r="D21" s="25">
        <f t="shared" ref="D21:E22" si="12">100000-100000</f>
        <v>0</v>
      </c>
      <c r="E21" s="25">
        <f t="shared" si="12"/>
        <v>0</v>
      </c>
      <c r="F21" s="25">
        <f t="shared" si="1"/>
        <v>0</v>
      </c>
      <c r="G21" s="25" t="e">
        <f t="shared" si="2"/>
        <v>#DIV/0!</v>
      </c>
      <c r="H21" s="25"/>
      <c r="I21" s="25" t="e">
        <f t="shared" si="3"/>
        <v>#DIV/0!</v>
      </c>
      <c r="J21" s="25"/>
      <c r="L21" s="21"/>
    </row>
    <row r="22" spans="1:12" s="20" customFormat="1" ht="78">
      <c r="A22" s="24" t="s">
        <v>324</v>
      </c>
      <c r="B22" s="32" t="s">
        <v>331</v>
      </c>
      <c r="C22" s="25">
        <f>100000</f>
        <v>100000</v>
      </c>
      <c r="D22" s="25">
        <f t="shared" si="12"/>
        <v>0</v>
      </c>
      <c r="E22" s="25">
        <f t="shared" si="12"/>
        <v>0</v>
      </c>
      <c r="F22" s="25">
        <f t="shared" si="1"/>
        <v>0</v>
      </c>
      <c r="G22" s="25">
        <f t="shared" si="2"/>
        <v>0</v>
      </c>
      <c r="H22" s="25"/>
      <c r="I22" s="25" t="e">
        <f t="shared" si="3"/>
        <v>#DIV/0!</v>
      </c>
      <c r="J22" s="25"/>
      <c r="L22" s="21"/>
    </row>
    <row r="23" spans="1:12" s="20" customFormat="1" ht="31.2">
      <c r="A23" s="18" t="s">
        <v>364</v>
      </c>
      <c r="B23" s="22" t="s">
        <v>19</v>
      </c>
      <c r="C23" s="29">
        <f>C24+C30+C34+C41</f>
        <v>466819369.51999998</v>
      </c>
      <c r="D23" s="29">
        <f t="shared" ref="D23:E23" si="13">D24+D30+D34+D41</f>
        <v>445813236.98000002</v>
      </c>
      <c r="E23" s="29">
        <f t="shared" si="13"/>
        <v>445794622.02999997</v>
      </c>
      <c r="F23" s="29">
        <f t="shared" si="1"/>
        <v>18614.95</v>
      </c>
      <c r="G23" s="29">
        <f t="shared" si="2"/>
        <v>95.5</v>
      </c>
      <c r="H23" s="29"/>
      <c r="I23" s="29">
        <f t="shared" si="3"/>
        <v>100</v>
      </c>
      <c r="J23" s="29"/>
      <c r="L23" s="21"/>
    </row>
    <row r="24" spans="1:12" s="20" customFormat="1" ht="31.2">
      <c r="A24" s="33" t="s">
        <v>184</v>
      </c>
      <c r="B24" s="22" t="s">
        <v>181</v>
      </c>
      <c r="C24" s="29">
        <f>C26+C27+C28+C29+C25</f>
        <v>385426225.98000002</v>
      </c>
      <c r="D24" s="29">
        <f t="shared" ref="D24:E24" si="14">D26+D27+D28+D29+D25</f>
        <v>421559855.70999998</v>
      </c>
      <c r="E24" s="29">
        <f t="shared" si="14"/>
        <v>421541240.75999999</v>
      </c>
      <c r="F24" s="29">
        <f t="shared" si="1"/>
        <v>18614.95</v>
      </c>
      <c r="G24" s="29">
        <f t="shared" si="2"/>
        <v>109.37</v>
      </c>
      <c r="H24" s="29"/>
      <c r="I24" s="29">
        <f t="shared" si="3"/>
        <v>100</v>
      </c>
      <c r="J24" s="29"/>
      <c r="L24" s="21"/>
    </row>
    <row r="25" spans="1:12" s="20" customFormat="1" ht="148.94999999999999" customHeight="1">
      <c r="A25" s="34" t="s">
        <v>439</v>
      </c>
      <c r="B25" s="30" t="s">
        <v>438</v>
      </c>
      <c r="C25" s="35">
        <f>0</f>
        <v>0</v>
      </c>
      <c r="D25" s="35">
        <f t="shared" ref="D25:E25" si="15">0+351540</f>
        <v>351540</v>
      </c>
      <c r="E25" s="35">
        <f t="shared" si="15"/>
        <v>351540</v>
      </c>
      <c r="F25" s="35">
        <f t="shared" si="1"/>
        <v>0</v>
      </c>
      <c r="G25" s="35" t="e">
        <f t="shared" si="2"/>
        <v>#DIV/0!</v>
      </c>
      <c r="H25" s="35"/>
      <c r="I25" s="35">
        <f t="shared" si="3"/>
        <v>100</v>
      </c>
      <c r="J25" s="35"/>
      <c r="L25" s="21"/>
    </row>
    <row r="26" spans="1:12" s="20" customFormat="1" ht="124.8">
      <c r="A26" s="34" t="s">
        <v>162</v>
      </c>
      <c r="B26" s="30" t="s">
        <v>117</v>
      </c>
      <c r="C26" s="35">
        <f>23049000</f>
        <v>23049000</v>
      </c>
      <c r="D26" s="35">
        <f t="shared" ref="D26:E26" si="16">23049000-4797000+2808000+6091020-3292380</f>
        <v>23858640</v>
      </c>
      <c r="E26" s="35">
        <f t="shared" si="16"/>
        <v>23858640</v>
      </c>
      <c r="F26" s="35">
        <f t="shared" si="1"/>
        <v>0</v>
      </c>
      <c r="G26" s="35">
        <f t="shared" si="2"/>
        <v>103.51</v>
      </c>
      <c r="H26" s="35"/>
      <c r="I26" s="35">
        <f t="shared" si="3"/>
        <v>100</v>
      </c>
      <c r="J26" s="35"/>
      <c r="L26" s="21"/>
    </row>
    <row r="27" spans="1:12" s="20" customFormat="1" ht="31.2">
      <c r="A27" s="24" t="s">
        <v>42</v>
      </c>
      <c r="B27" s="30" t="s">
        <v>105</v>
      </c>
      <c r="C27" s="25">
        <f>148390716.28</f>
        <v>148390716.28</v>
      </c>
      <c r="D27" s="25">
        <f t="shared" ref="D27:E27" si="17">148390716.28-3457828</f>
        <v>144932888.28</v>
      </c>
      <c r="E27" s="25">
        <f t="shared" si="17"/>
        <v>144932888.28</v>
      </c>
      <c r="F27" s="25">
        <f t="shared" si="1"/>
        <v>0</v>
      </c>
      <c r="G27" s="25">
        <f t="shared" si="2"/>
        <v>97.67</v>
      </c>
      <c r="H27" s="25"/>
      <c r="I27" s="25">
        <f t="shared" si="3"/>
        <v>100</v>
      </c>
      <c r="J27" s="25"/>
      <c r="L27" s="21"/>
    </row>
    <row r="28" spans="1:12" s="20" customFormat="1" ht="78">
      <c r="A28" s="24" t="s">
        <v>44</v>
      </c>
      <c r="B28" s="30" t="s">
        <v>106</v>
      </c>
      <c r="C28" s="25">
        <f>10097827.7</f>
        <v>10097827.699999999</v>
      </c>
      <c r="D28" s="25">
        <f t="shared" ref="D28" si="18">10097827.7+17684530+5540211.6-212387.45+4538922.58</f>
        <v>37649104.43</v>
      </c>
      <c r="E28" s="25">
        <v>37630489.479999997</v>
      </c>
      <c r="F28" s="25">
        <f t="shared" si="1"/>
        <v>18614.95</v>
      </c>
      <c r="G28" s="25">
        <f t="shared" si="2"/>
        <v>372.66</v>
      </c>
      <c r="H28" s="25"/>
      <c r="I28" s="25">
        <f t="shared" si="3"/>
        <v>99.95</v>
      </c>
      <c r="J28" s="25"/>
      <c r="L28" s="21"/>
    </row>
    <row r="29" spans="1:12" s="20" customFormat="1" ht="93.6">
      <c r="A29" s="36" t="s">
        <v>148</v>
      </c>
      <c r="B29" s="30" t="s">
        <v>107</v>
      </c>
      <c r="C29" s="31">
        <f>203888682</f>
        <v>203888682</v>
      </c>
      <c r="D29" s="31">
        <f t="shared" ref="D29:E29" si="19">203888682+10879001</f>
        <v>214767683</v>
      </c>
      <c r="E29" s="31">
        <f t="shared" si="19"/>
        <v>214767683</v>
      </c>
      <c r="F29" s="31">
        <f t="shared" si="1"/>
        <v>0</v>
      </c>
      <c r="G29" s="31">
        <f t="shared" si="2"/>
        <v>105.34</v>
      </c>
      <c r="H29" s="31"/>
      <c r="I29" s="31">
        <f t="shared" si="3"/>
        <v>100</v>
      </c>
      <c r="J29" s="31"/>
      <c r="L29" s="21"/>
    </row>
    <row r="30" spans="1:12" s="20" customFormat="1" ht="31.2">
      <c r="A30" s="28" t="s">
        <v>183</v>
      </c>
      <c r="B30" s="22" t="s">
        <v>182</v>
      </c>
      <c r="C30" s="29">
        <f>C31+C32+C33</f>
        <v>23260100</v>
      </c>
      <c r="D30" s="29">
        <f t="shared" ref="D30:E30" si="20">D31+D32+D33</f>
        <v>21603192</v>
      </c>
      <c r="E30" s="29">
        <f t="shared" si="20"/>
        <v>21603192</v>
      </c>
      <c r="F30" s="29">
        <f t="shared" si="1"/>
        <v>0</v>
      </c>
      <c r="G30" s="29">
        <f t="shared" si="2"/>
        <v>92.88</v>
      </c>
      <c r="H30" s="29"/>
      <c r="I30" s="29">
        <f t="shared" si="3"/>
        <v>100</v>
      </c>
      <c r="J30" s="29"/>
      <c r="L30" s="21"/>
    </row>
    <row r="31" spans="1:12" s="20" customFormat="1" ht="31.2">
      <c r="A31" s="24" t="s">
        <v>188</v>
      </c>
      <c r="B31" s="37" t="s">
        <v>187</v>
      </c>
      <c r="C31" s="38">
        <f>475000</f>
        <v>475000</v>
      </c>
      <c r="D31" s="38">
        <f t="shared" ref="D31:E31" si="21">475000+287705</f>
        <v>762705</v>
      </c>
      <c r="E31" s="38">
        <f t="shared" si="21"/>
        <v>762705</v>
      </c>
      <c r="F31" s="38">
        <f t="shared" si="1"/>
        <v>0</v>
      </c>
      <c r="G31" s="38">
        <f t="shared" si="2"/>
        <v>160.57</v>
      </c>
      <c r="H31" s="38"/>
      <c r="I31" s="38">
        <f t="shared" si="3"/>
        <v>100</v>
      </c>
      <c r="J31" s="38"/>
      <c r="L31" s="21"/>
    </row>
    <row r="32" spans="1:12" s="20" customFormat="1" ht="62.4">
      <c r="A32" s="24" t="s">
        <v>151</v>
      </c>
      <c r="B32" s="37" t="s">
        <v>185</v>
      </c>
      <c r="C32" s="38">
        <f>6673350</f>
        <v>6673350</v>
      </c>
      <c r="D32" s="38">
        <f t="shared" ref="D32:E32" si="22">6673350-626263</f>
        <v>6047087</v>
      </c>
      <c r="E32" s="38">
        <f t="shared" si="22"/>
        <v>6047087</v>
      </c>
      <c r="F32" s="38">
        <f t="shared" si="1"/>
        <v>0</v>
      </c>
      <c r="G32" s="38">
        <f t="shared" si="2"/>
        <v>90.62</v>
      </c>
      <c r="H32" s="38"/>
      <c r="I32" s="38">
        <f t="shared" si="3"/>
        <v>100</v>
      </c>
      <c r="J32" s="38"/>
      <c r="L32" s="21"/>
    </row>
    <row r="33" spans="1:12" s="20" customFormat="1" ht="62.4">
      <c r="A33" s="34" t="s">
        <v>153</v>
      </c>
      <c r="B33" s="37" t="s">
        <v>186</v>
      </c>
      <c r="C33" s="31">
        <f>16111750</f>
        <v>16111750</v>
      </c>
      <c r="D33" s="31">
        <f t="shared" ref="D33:E33" si="23">16111750+1762900-3081250</f>
        <v>14793400</v>
      </c>
      <c r="E33" s="31">
        <f t="shared" si="23"/>
        <v>14793400</v>
      </c>
      <c r="F33" s="31">
        <f t="shared" si="1"/>
        <v>0</v>
      </c>
      <c r="G33" s="31">
        <f t="shared" si="2"/>
        <v>91.82</v>
      </c>
      <c r="H33" s="31"/>
      <c r="I33" s="31">
        <f t="shared" si="3"/>
        <v>100</v>
      </c>
      <c r="J33" s="31"/>
      <c r="L33" s="21"/>
    </row>
    <row r="34" spans="1:12" s="20" customFormat="1" ht="78">
      <c r="A34" s="18" t="s">
        <v>189</v>
      </c>
      <c r="B34" s="22" t="s">
        <v>190</v>
      </c>
      <c r="C34" s="29">
        <f>C39+C40+C35+C36+C37+C38</f>
        <v>57983043.539999999</v>
      </c>
      <c r="D34" s="29">
        <f t="shared" ref="D34:E34" si="24">D39+D40+D35+D36+D37+D38</f>
        <v>2650189.27</v>
      </c>
      <c r="E34" s="29">
        <f t="shared" si="24"/>
        <v>2650189.27</v>
      </c>
      <c r="F34" s="29">
        <f t="shared" si="1"/>
        <v>0</v>
      </c>
      <c r="G34" s="29">
        <f t="shared" si="2"/>
        <v>4.57</v>
      </c>
      <c r="H34" s="29"/>
      <c r="I34" s="29">
        <f t="shared" si="3"/>
        <v>100</v>
      </c>
      <c r="J34" s="29"/>
      <c r="L34" s="21"/>
    </row>
    <row r="35" spans="1:12" s="20" customFormat="1" ht="46.8">
      <c r="A35" s="23" t="s">
        <v>407</v>
      </c>
      <c r="B35" s="24" t="s">
        <v>405</v>
      </c>
      <c r="C35" s="25">
        <v>0</v>
      </c>
      <c r="D35" s="25">
        <f t="shared" ref="D35:E35" si="25">1500000-307500.62</f>
        <v>1192499.3799999999</v>
      </c>
      <c r="E35" s="25">
        <f t="shared" si="25"/>
        <v>1192499.3799999999</v>
      </c>
      <c r="F35" s="25">
        <f t="shared" si="1"/>
        <v>0</v>
      </c>
      <c r="G35" s="25" t="e">
        <f t="shared" si="2"/>
        <v>#DIV/0!</v>
      </c>
      <c r="H35" s="25"/>
      <c r="I35" s="25">
        <f t="shared" si="3"/>
        <v>100</v>
      </c>
      <c r="J35" s="25"/>
      <c r="L35" s="21"/>
    </row>
    <row r="36" spans="1:12" s="20" customFormat="1" ht="62.4">
      <c r="A36" s="23" t="s">
        <v>408</v>
      </c>
      <c r="B36" s="24" t="s">
        <v>405</v>
      </c>
      <c r="C36" s="25">
        <v>0</v>
      </c>
      <c r="D36" s="25">
        <f t="shared" ref="D36:E36" si="26">15151.52-3106.06</f>
        <v>12045.46</v>
      </c>
      <c r="E36" s="25">
        <f t="shared" si="26"/>
        <v>12045.46</v>
      </c>
      <c r="F36" s="25">
        <f t="shared" si="1"/>
        <v>0</v>
      </c>
      <c r="G36" s="25" t="e">
        <f t="shared" si="2"/>
        <v>#DIV/0!</v>
      </c>
      <c r="H36" s="25"/>
      <c r="I36" s="25">
        <f t="shared" si="3"/>
        <v>100</v>
      </c>
      <c r="J36" s="25"/>
      <c r="L36" s="21"/>
    </row>
    <row r="37" spans="1:12" s="20" customFormat="1" ht="46.8">
      <c r="A37" s="23" t="s">
        <v>409</v>
      </c>
      <c r="B37" s="24" t="s">
        <v>406</v>
      </c>
      <c r="C37" s="25">
        <v>0</v>
      </c>
      <c r="D37" s="25">
        <f t="shared" ref="D37:E37" si="27">1500000-285000.6</f>
        <v>1214999.3999999999</v>
      </c>
      <c r="E37" s="25">
        <f t="shared" si="27"/>
        <v>1214999.3999999999</v>
      </c>
      <c r="F37" s="25">
        <f t="shared" si="1"/>
        <v>0</v>
      </c>
      <c r="G37" s="25" t="e">
        <f t="shared" si="2"/>
        <v>#DIV/0!</v>
      </c>
      <c r="H37" s="25"/>
      <c r="I37" s="25">
        <f t="shared" si="3"/>
        <v>100</v>
      </c>
      <c r="J37" s="25"/>
      <c r="L37" s="21"/>
    </row>
    <row r="38" spans="1:12" s="20" customFormat="1" ht="62.4">
      <c r="A38" s="23" t="s">
        <v>410</v>
      </c>
      <c r="B38" s="24" t="s">
        <v>406</v>
      </c>
      <c r="C38" s="25">
        <v>0</v>
      </c>
      <c r="D38" s="25">
        <f t="shared" ref="D38:E38" si="28">15151.52+215493.51</f>
        <v>230645.03</v>
      </c>
      <c r="E38" s="25">
        <f t="shared" si="28"/>
        <v>230645.03</v>
      </c>
      <c r="F38" s="25">
        <f t="shared" si="1"/>
        <v>0</v>
      </c>
      <c r="G38" s="25" t="e">
        <f t="shared" si="2"/>
        <v>#DIV/0!</v>
      </c>
      <c r="H38" s="25"/>
      <c r="I38" s="25">
        <f t="shared" si="3"/>
        <v>100</v>
      </c>
      <c r="J38" s="25"/>
      <c r="L38" s="21"/>
    </row>
    <row r="39" spans="1:12" s="20" customFormat="1" ht="31.2">
      <c r="A39" s="34" t="s">
        <v>125</v>
      </c>
      <c r="B39" s="34" t="s">
        <v>191</v>
      </c>
      <c r="C39" s="38">
        <f>55083891.36</f>
        <v>55083891.359999999</v>
      </c>
      <c r="D39" s="38">
        <f t="shared" ref="D39:E39" si="29">55083891.36-55083891.36</f>
        <v>0</v>
      </c>
      <c r="E39" s="38">
        <f t="shared" si="29"/>
        <v>0</v>
      </c>
      <c r="F39" s="38">
        <f t="shared" si="1"/>
        <v>0</v>
      </c>
      <c r="G39" s="38">
        <f t="shared" si="2"/>
        <v>0</v>
      </c>
      <c r="H39" s="38"/>
      <c r="I39" s="38" t="e">
        <f t="shared" si="3"/>
        <v>#DIV/0!</v>
      </c>
      <c r="J39" s="38"/>
      <c r="L39" s="21"/>
    </row>
    <row r="40" spans="1:12" s="20" customFormat="1" ht="31.2">
      <c r="A40" s="34" t="s">
        <v>126</v>
      </c>
      <c r="B40" s="34" t="s">
        <v>191</v>
      </c>
      <c r="C40" s="38">
        <f>2899152.18</f>
        <v>2899152.18</v>
      </c>
      <c r="D40" s="38">
        <f t="shared" ref="D40:E40" si="30">2899152.18-2899152.18</f>
        <v>0</v>
      </c>
      <c r="E40" s="38">
        <f t="shared" si="30"/>
        <v>0</v>
      </c>
      <c r="F40" s="38">
        <f t="shared" si="1"/>
        <v>0</v>
      </c>
      <c r="G40" s="38">
        <f t="shared" si="2"/>
        <v>0</v>
      </c>
      <c r="H40" s="38"/>
      <c r="I40" s="38" t="e">
        <f t="shared" si="3"/>
        <v>#DIV/0!</v>
      </c>
      <c r="J40" s="38"/>
      <c r="L40" s="21"/>
    </row>
    <row r="41" spans="1:12" s="20" customFormat="1" ht="62.4">
      <c r="A41" s="28" t="s">
        <v>358</v>
      </c>
      <c r="B41" s="22" t="s">
        <v>325</v>
      </c>
      <c r="C41" s="29">
        <f>+C42+C43</f>
        <v>150000</v>
      </c>
      <c r="D41" s="29">
        <f t="shared" ref="D41:E41" si="31">+D42+D43</f>
        <v>0</v>
      </c>
      <c r="E41" s="29">
        <f t="shared" si="31"/>
        <v>0</v>
      </c>
      <c r="F41" s="29">
        <f t="shared" si="1"/>
        <v>0</v>
      </c>
      <c r="G41" s="29">
        <f t="shared" si="2"/>
        <v>0</v>
      </c>
      <c r="H41" s="29"/>
      <c r="I41" s="29" t="e">
        <f t="shared" si="3"/>
        <v>#DIV/0!</v>
      </c>
      <c r="J41" s="29"/>
      <c r="L41" s="21"/>
    </row>
    <row r="42" spans="1:12" s="20" customFormat="1" ht="93.6">
      <c r="A42" s="24" t="s">
        <v>422</v>
      </c>
      <c r="B42" s="32" t="s">
        <v>327</v>
      </c>
      <c r="C42" s="25">
        <f>150000-150000</f>
        <v>0</v>
      </c>
      <c r="D42" s="25">
        <f t="shared" ref="D42:E43" si="32">150000-150000</f>
        <v>0</v>
      </c>
      <c r="E42" s="25">
        <f t="shared" si="32"/>
        <v>0</v>
      </c>
      <c r="F42" s="25">
        <f t="shared" si="1"/>
        <v>0</v>
      </c>
      <c r="G42" s="25" t="e">
        <f t="shared" si="2"/>
        <v>#DIV/0!</v>
      </c>
      <c r="H42" s="25"/>
      <c r="I42" s="25" t="e">
        <f t="shared" si="3"/>
        <v>#DIV/0!</v>
      </c>
      <c r="J42" s="25"/>
      <c r="L42" s="21"/>
    </row>
    <row r="43" spans="1:12" s="20" customFormat="1" ht="78">
      <c r="A43" s="24" t="s">
        <v>326</v>
      </c>
      <c r="B43" s="32" t="s">
        <v>327</v>
      </c>
      <c r="C43" s="25">
        <f>150000</f>
        <v>150000</v>
      </c>
      <c r="D43" s="25">
        <f t="shared" si="32"/>
        <v>0</v>
      </c>
      <c r="E43" s="25">
        <f t="shared" si="32"/>
        <v>0</v>
      </c>
      <c r="F43" s="25">
        <f t="shared" si="1"/>
        <v>0</v>
      </c>
      <c r="G43" s="25">
        <f t="shared" si="2"/>
        <v>0</v>
      </c>
      <c r="H43" s="25"/>
      <c r="I43" s="25" t="e">
        <f t="shared" si="3"/>
        <v>#DIV/0!</v>
      </c>
      <c r="J43" s="25"/>
      <c r="L43" s="21"/>
    </row>
    <row r="44" spans="1:12" s="20" customFormat="1" ht="62.4">
      <c r="A44" s="26" t="s">
        <v>365</v>
      </c>
      <c r="B44" s="27" t="s">
        <v>1</v>
      </c>
      <c r="C44" s="19">
        <f>C45+C47+C50</f>
        <v>17181355</v>
      </c>
      <c r="D44" s="19">
        <f t="shared" ref="D44:E44" si="33">D45+D47+D50</f>
        <v>15887878.52</v>
      </c>
      <c r="E44" s="19">
        <f t="shared" si="33"/>
        <v>15887878.52</v>
      </c>
      <c r="F44" s="19">
        <f t="shared" si="1"/>
        <v>0</v>
      </c>
      <c r="G44" s="19">
        <f t="shared" si="2"/>
        <v>92.47</v>
      </c>
      <c r="H44" s="19"/>
      <c r="I44" s="19">
        <f t="shared" si="3"/>
        <v>100</v>
      </c>
      <c r="J44" s="19"/>
      <c r="L44" s="21"/>
    </row>
    <row r="45" spans="1:12" s="20" customFormat="1" ht="31.2">
      <c r="A45" s="15" t="s">
        <v>193</v>
      </c>
      <c r="B45" s="27" t="s">
        <v>165</v>
      </c>
      <c r="C45" s="19">
        <f>C46</f>
        <v>11512930</v>
      </c>
      <c r="D45" s="19">
        <f t="shared" ref="D45:E45" si="34">D46</f>
        <v>10105902.66</v>
      </c>
      <c r="E45" s="19">
        <f t="shared" si="34"/>
        <v>10105902.66</v>
      </c>
      <c r="F45" s="19">
        <f t="shared" si="1"/>
        <v>0</v>
      </c>
      <c r="G45" s="19">
        <f t="shared" si="2"/>
        <v>87.78</v>
      </c>
      <c r="H45" s="19"/>
      <c r="I45" s="19">
        <f t="shared" si="3"/>
        <v>100</v>
      </c>
      <c r="J45" s="19"/>
      <c r="L45" s="21"/>
    </row>
    <row r="46" spans="1:12" s="20" customFormat="1" ht="31.2">
      <c r="A46" s="24" t="s">
        <v>166</v>
      </c>
      <c r="B46" s="39" t="s">
        <v>124</v>
      </c>
      <c r="C46" s="25">
        <f>11512930</f>
        <v>11512930</v>
      </c>
      <c r="D46" s="25">
        <f t="shared" ref="D46:E46" si="35">11512930+80000-1444242+780000-822785.34</f>
        <v>10105902.66</v>
      </c>
      <c r="E46" s="25">
        <f t="shared" si="35"/>
        <v>10105902.66</v>
      </c>
      <c r="F46" s="25">
        <f t="shared" si="1"/>
        <v>0</v>
      </c>
      <c r="G46" s="25">
        <f t="shared" si="2"/>
        <v>87.78</v>
      </c>
      <c r="H46" s="25"/>
      <c r="I46" s="25">
        <f t="shared" si="3"/>
        <v>100</v>
      </c>
      <c r="J46" s="25"/>
      <c r="L46" s="21"/>
    </row>
    <row r="47" spans="1:12" s="20" customFormat="1" ht="46.8">
      <c r="A47" s="26" t="s">
        <v>195</v>
      </c>
      <c r="B47" s="27" t="s">
        <v>194</v>
      </c>
      <c r="C47" s="19">
        <f>C48+C49</f>
        <v>5063425</v>
      </c>
      <c r="D47" s="19">
        <f t="shared" ref="D47:E47" si="36">D48+D49</f>
        <v>5176975.8600000003</v>
      </c>
      <c r="E47" s="19">
        <f t="shared" si="36"/>
        <v>5176975.8600000003</v>
      </c>
      <c r="F47" s="19">
        <f t="shared" si="1"/>
        <v>0</v>
      </c>
      <c r="G47" s="19">
        <f t="shared" si="2"/>
        <v>102.24</v>
      </c>
      <c r="H47" s="19"/>
      <c r="I47" s="19">
        <f t="shared" si="3"/>
        <v>100</v>
      </c>
      <c r="J47" s="19"/>
      <c r="L47" s="21"/>
    </row>
    <row r="48" spans="1:12" s="20" customFormat="1" ht="46.8">
      <c r="A48" s="40" t="s">
        <v>197</v>
      </c>
      <c r="B48" s="30" t="s">
        <v>196</v>
      </c>
      <c r="C48" s="25">
        <f>2529500</f>
        <v>2529500</v>
      </c>
      <c r="D48" s="25">
        <f t="shared" ref="D48:E48" si="37">2529500+300000-186449.14</f>
        <v>2643050.86</v>
      </c>
      <c r="E48" s="25">
        <f t="shared" si="37"/>
        <v>2643050.86</v>
      </c>
      <c r="F48" s="25">
        <f t="shared" si="1"/>
        <v>0</v>
      </c>
      <c r="G48" s="25">
        <f t="shared" si="2"/>
        <v>104.49</v>
      </c>
      <c r="H48" s="25"/>
      <c r="I48" s="25">
        <f t="shared" si="3"/>
        <v>100</v>
      </c>
      <c r="J48" s="25"/>
      <c r="L48" s="21"/>
    </row>
    <row r="49" spans="1:12" s="20" customFormat="1" ht="46.8">
      <c r="A49" s="34" t="s">
        <v>150</v>
      </c>
      <c r="B49" s="30" t="s">
        <v>20</v>
      </c>
      <c r="C49" s="38">
        <v>2533925</v>
      </c>
      <c r="D49" s="38">
        <v>2533925</v>
      </c>
      <c r="E49" s="38">
        <v>2533925</v>
      </c>
      <c r="F49" s="38">
        <f t="shared" si="1"/>
        <v>0</v>
      </c>
      <c r="G49" s="38">
        <f t="shared" si="2"/>
        <v>100</v>
      </c>
      <c r="H49" s="38"/>
      <c r="I49" s="38">
        <f t="shared" si="3"/>
        <v>100</v>
      </c>
      <c r="J49" s="38"/>
      <c r="L49" s="21"/>
    </row>
    <row r="50" spans="1:12" s="20" customFormat="1" ht="62.4">
      <c r="A50" s="26" t="s">
        <v>366</v>
      </c>
      <c r="B50" s="27" t="s">
        <v>288</v>
      </c>
      <c r="C50" s="19">
        <f>C51</f>
        <v>605000</v>
      </c>
      <c r="D50" s="19">
        <f t="shared" ref="D50:E50" si="38">D51</f>
        <v>605000</v>
      </c>
      <c r="E50" s="19">
        <f t="shared" si="38"/>
        <v>605000</v>
      </c>
      <c r="F50" s="19">
        <f t="shared" si="1"/>
        <v>0</v>
      </c>
      <c r="G50" s="19">
        <f t="shared" si="2"/>
        <v>100</v>
      </c>
      <c r="H50" s="19"/>
      <c r="I50" s="19">
        <f t="shared" si="3"/>
        <v>100</v>
      </c>
      <c r="J50" s="19"/>
      <c r="L50" s="21"/>
    </row>
    <row r="51" spans="1:12" s="20" customFormat="1" ht="15.6">
      <c r="A51" s="24" t="s">
        <v>38</v>
      </c>
      <c r="B51" s="24" t="s">
        <v>287</v>
      </c>
      <c r="C51" s="38">
        <v>605000</v>
      </c>
      <c r="D51" s="38">
        <v>605000</v>
      </c>
      <c r="E51" s="38">
        <v>605000</v>
      </c>
      <c r="F51" s="38">
        <f t="shared" si="1"/>
        <v>0</v>
      </c>
      <c r="G51" s="38">
        <f t="shared" si="2"/>
        <v>100</v>
      </c>
      <c r="H51" s="38"/>
      <c r="I51" s="38">
        <f t="shared" si="3"/>
        <v>100</v>
      </c>
      <c r="J51" s="38"/>
      <c r="L51" s="21"/>
    </row>
    <row r="52" spans="1:12" s="20" customFormat="1" ht="31.2">
      <c r="A52" s="18" t="s">
        <v>198</v>
      </c>
      <c r="B52" s="22" t="s">
        <v>21</v>
      </c>
      <c r="C52" s="29">
        <f>C53+C55</f>
        <v>40873534.689999998</v>
      </c>
      <c r="D52" s="29">
        <f t="shared" ref="D52:E52" si="39">D53+D55</f>
        <v>45865248.75</v>
      </c>
      <c r="E52" s="29">
        <f t="shared" si="39"/>
        <v>45793406.890000001</v>
      </c>
      <c r="F52" s="29">
        <f t="shared" si="1"/>
        <v>71841.86</v>
      </c>
      <c r="G52" s="29">
        <f t="shared" si="2"/>
        <v>112.04</v>
      </c>
      <c r="H52" s="29"/>
      <c r="I52" s="29">
        <f t="shared" si="3"/>
        <v>99.84</v>
      </c>
      <c r="J52" s="29"/>
      <c r="L52" s="21"/>
    </row>
    <row r="53" spans="1:12" s="20" customFormat="1" ht="46.8">
      <c r="A53" s="15" t="s">
        <v>338</v>
      </c>
      <c r="B53" s="27" t="s">
        <v>199</v>
      </c>
      <c r="C53" s="19">
        <f>C54</f>
        <v>39138334.689999998</v>
      </c>
      <c r="D53" s="19">
        <f t="shared" ref="D53:E53" si="40">D54</f>
        <v>45185520.75</v>
      </c>
      <c r="E53" s="19">
        <f t="shared" si="40"/>
        <v>45152181.75</v>
      </c>
      <c r="F53" s="19">
        <f t="shared" si="1"/>
        <v>33339</v>
      </c>
      <c r="G53" s="19">
        <f t="shared" si="2"/>
        <v>115.37</v>
      </c>
      <c r="H53" s="19"/>
      <c r="I53" s="19">
        <f t="shared" si="3"/>
        <v>99.93</v>
      </c>
      <c r="J53" s="19"/>
      <c r="L53" s="21"/>
    </row>
    <row r="54" spans="1:12" s="20" customFormat="1" ht="31.2">
      <c r="A54" s="24" t="s">
        <v>42</v>
      </c>
      <c r="B54" s="30" t="s">
        <v>22</v>
      </c>
      <c r="C54" s="38">
        <f>39138334.69</f>
        <v>39138334.689999998</v>
      </c>
      <c r="D54" s="38">
        <f t="shared" ref="D54" si="41">39138334.69+349266+5733751.12+50960.17+18508.73-46062.23+470000-53335.73-470000-5000-620-282</f>
        <v>45185520.75</v>
      </c>
      <c r="E54" s="38">
        <v>45152181.75</v>
      </c>
      <c r="F54" s="38">
        <f t="shared" si="1"/>
        <v>33339</v>
      </c>
      <c r="G54" s="38">
        <f t="shared" si="2"/>
        <v>115.37</v>
      </c>
      <c r="H54" s="38"/>
      <c r="I54" s="38">
        <f t="shared" si="3"/>
        <v>99.93</v>
      </c>
      <c r="J54" s="38"/>
      <c r="L54" s="21"/>
    </row>
    <row r="55" spans="1:12" s="20" customFormat="1" ht="46.8">
      <c r="A55" s="15" t="s">
        <v>201</v>
      </c>
      <c r="B55" s="27" t="s">
        <v>200</v>
      </c>
      <c r="C55" s="19">
        <f>C56+C57+C58</f>
        <v>1735200</v>
      </c>
      <c r="D55" s="19">
        <f t="shared" ref="D55:E55" si="42">D56+D57+D58</f>
        <v>679728</v>
      </c>
      <c r="E55" s="19">
        <f t="shared" si="42"/>
        <v>641225.14</v>
      </c>
      <c r="F55" s="19">
        <f t="shared" si="1"/>
        <v>38502.86</v>
      </c>
      <c r="G55" s="19">
        <f t="shared" si="2"/>
        <v>36.950000000000003</v>
      </c>
      <c r="H55" s="19"/>
      <c r="I55" s="19">
        <f t="shared" si="3"/>
        <v>94.34</v>
      </c>
      <c r="J55" s="19"/>
      <c r="L55" s="21"/>
    </row>
    <row r="56" spans="1:12" s="20" customFormat="1" ht="46.8">
      <c r="A56" s="34" t="s">
        <v>373</v>
      </c>
      <c r="B56" s="37" t="s">
        <v>371</v>
      </c>
      <c r="C56" s="38">
        <f>874200</f>
        <v>874200</v>
      </c>
      <c r="D56" s="38">
        <f t="shared" ref="D56" si="43">874200-400472</f>
        <v>473728</v>
      </c>
      <c r="E56" s="38">
        <v>459728</v>
      </c>
      <c r="F56" s="38">
        <f t="shared" si="1"/>
        <v>14000</v>
      </c>
      <c r="G56" s="38">
        <f t="shared" si="2"/>
        <v>52.59</v>
      </c>
      <c r="H56" s="38"/>
      <c r="I56" s="38">
        <f t="shared" si="3"/>
        <v>97.04</v>
      </c>
      <c r="J56" s="38"/>
      <c r="L56" s="21"/>
    </row>
    <row r="57" spans="1:12" s="20" customFormat="1" ht="15.6">
      <c r="A57" s="24" t="s">
        <v>91</v>
      </c>
      <c r="B57" s="30" t="s">
        <v>206</v>
      </c>
      <c r="C57" s="25">
        <v>96000</v>
      </c>
      <c r="D57" s="25">
        <v>96000</v>
      </c>
      <c r="E57" s="25">
        <v>71497.14</v>
      </c>
      <c r="F57" s="25">
        <f t="shared" si="1"/>
        <v>24502.86</v>
      </c>
      <c r="G57" s="25">
        <f t="shared" si="2"/>
        <v>74.48</v>
      </c>
      <c r="H57" s="25"/>
      <c r="I57" s="25">
        <f t="shared" si="3"/>
        <v>74.48</v>
      </c>
      <c r="J57" s="25"/>
      <c r="L57" s="21"/>
    </row>
    <row r="58" spans="1:12" s="20" customFormat="1" ht="31.2">
      <c r="A58" s="24" t="s">
        <v>285</v>
      </c>
      <c r="B58" s="30" t="s">
        <v>284</v>
      </c>
      <c r="C58" s="25">
        <f>765000</f>
        <v>765000</v>
      </c>
      <c r="D58" s="25">
        <f t="shared" ref="D58:E58" si="44">765000-655000</f>
        <v>110000</v>
      </c>
      <c r="E58" s="25">
        <f t="shared" si="44"/>
        <v>110000</v>
      </c>
      <c r="F58" s="25">
        <f t="shared" si="1"/>
        <v>0</v>
      </c>
      <c r="G58" s="25">
        <f t="shared" si="2"/>
        <v>14.38</v>
      </c>
      <c r="H58" s="25"/>
      <c r="I58" s="25">
        <f t="shared" si="3"/>
        <v>100</v>
      </c>
      <c r="J58" s="25"/>
      <c r="L58" s="21"/>
    </row>
    <row r="59" spans="1:12" s="20" customFormat="1" ht="15.6">
      <c r="A59" s="26" t="s">
        <v>367</v>
      </c>
      <c r="B59" s="27" t="s">
        <v>71</v>
      </c>
      <c r="C59" s="19">
        <f>C60+C62</f>
        <v>5627240.0999999996</v>
      </c>
      <c r="D59" s="19">
        <f t="shared" ref="D59:E59" si="45">D60+D62</f>
        <v>3311956.8</v>
      </c>
      <c r="E59" s="19">
        <f t="shared" si="45"/>
        <v>3311956.8</v>
      </c>
      <c r="F59" s="19">
        <f t="shared" si="1"/>
        <v>0</v>
      </c>
      <c r="G59" s="19">
        <f t="shared" si="2"/>
        <v>58.86</v>
      </c>
      <c r="H59" s="19"/>
      <c r="I59" s="19">
        <f t="shared" si="3"/>
        <v>100</v>
      </c>
      <c r="J59" s="19"/>
      <c r="L59" s="21"/>
    </row>
    <row r="60" spans="1:12" s="20" customFormat="1" ht="46.8">
      <c r="A60" s="15" t="s">
        <v>192</v>
      </c>
      <c r="B60" s="41" t="s">
        <v>328</v>
      </c>
      <c r="C60" s="29">
        <f>C61</f>
        <v>2597240.1</v>
      </c>
      <c r="D60" s="29">
        <f t="shared" ref="D60:E60" si="46">D61</f>
        <v>2141956.7999999998</v>
      </c>
      <c r="E60" s="29">
        <f t="shared" si="46"/>
        <v>2141956.7999999998</v>
      </c>
      <c r="F60" s="29">
        <f t="shared" si="1"/>
        <v>0</v>
      </c>
      <c r="G60" s="29">
        <f t="shared" si="2"/>
        <v>82.47</v>
      </c>
      <c r="H60" s="29"/>
      <c r="I60" s="29">
        <f t="shared" si="3"/>
        <v>100</v>
      </c>
      <c r="J60" s="29"/>
      <c r="L60" s="21"/>
    </row>
    <row r="61" spans="1:12" s="20" customFormat="1" ht="62.4">
      <c r="A61" s="49" t="s">
        <v>161</v>
      </c>
      <c r="B61" s="42" t="s">
        <v>329</v>
      </c>
      <c r="C61" s="38">
        <f>2597240.1</f>
        <v>2597240.1</v>
      </c>
      <c r="D61" s="38">
        <f t="shared" ref="D61:E61" si="47">2597240.1-60097.62-395185.68</f>
        <v>2141956.7999999998</v>
      </c>
      <c r="E61" s="38">
        <f t="shared" si="47"/>
        <v>2141956.7999999998</v>
      </c>
      <c r="F61" s="38">
        <f t="shared" si="1"/>
        <v>0</v>
      </c>
      <c r="G61" s="38">
        <f t="shared" si="2"/>
        <v>82.47</v>
      </c>
      <c r="H61" s="38"/>
      <c r="I61" s="38">
        <f t="shared" si="3"/>
        <v>100</v>
      </c>
      <c r="J61" s="38"/>
      <c r="L61" s="21"/>
    </row>
    <row r="62" spans="1:12" s="20" customFormat="1" ht="15.6">
      <c r="A62" s="26" t="s">
        <v>160</v>
      </c>
      <c r="B62" s="27" t="s">
        <v>83</v>
      </c>
      <c r="C62" s="19">
        <f>C63</f>
        <v>3030000</v>
      </c>
      <c r="D62" s="19">
        <f t="shared" ref="D62:E62" si="48">D63</f>
        <v>1170000</v>
      </c>
      <c r="E62" s="19">
        <f t="shared" si="48"/>
        <v>1170000</v>
      </c>
      <c r="F62" s="19">
        <f t="shared" si="1"/>
        <v>0</v>
      </c>
      <c r="G62" s="19">
        <f t="shared" si="2"/>
        <v>38.61</v>
      </c>
      <c r="H62" s="19"/>
      <c r="I62" s="19">
        <f t="shared" si="3"/>
        <v>100</v>
      </c>
      <c r="J62" s="19"/>
      <c r="L62" s="21"/>
    </row>
    <row r="63" spans="1:12" s="20" customFormat="1" ht="93.6">
      <c r="A63" s="34" t="s">
        <v>81</v>
      </c>
      <c r="B63" s="32" t="s">
        <v>122</v>
      </c>
      <c r="C63" s="35">
        <f>3030000</f>
        <v>3030000</v>
      </c>
      <c r="D63" s="35">
        <f t="shared" ref="D63:E63" si="49">3030000-1860000</f>
        <v>1170000</v>
      </c>
      <c r="E63" s="35">
        <f t="shared" si="49"/>
        <v>1170000</v>
      </c>
      <c r="F63" s="35">
        <f t="shared" si="1"/>
        <v>0</v>
      </c>
      <c r="G63" s="35">
        <f t="shared" si="2"/>
        <v>38.61</v>
      </c>
      <c r="H63" s="35"/>
      <c r="I63" s="35">
        <f t="shared" si="3"/>
        <v>100</v>
      </c>
      <c r="J63" s="35"/>
      <c r="L63" s="21"/>
    </row>
    <row r="64" spans="1:12" s="20" customFormat="1" ht="46.8">
      <c r="A64" s="15" t="s">
        <v>202</v>
      </c>
      <c r="B64" s="43" t="s">
        <v>5</v>
      </c>
      <c r="C64" s="19">
        <f>C65+C70+C76</f>
        <v>23938051.969999999</v>
      </c>
      <c r="D64" s="19">
        <f t="shared" ref="D64:E64" si="50">D65+D70+D76</f>
        <v>18765307.699999999</v>
      </c>
      <c r="E64" s="19">
        <f t="shared" si="50"/>
        <v>16448928.880000001</v>
      </c>
      <c r="F64" s="19">
        <f t="shared" si="1"/>
        <v>2316378.8199999998</v>
      </c>
      <c r="G64" s="19">
        <f t="shared" si="2"/>
        <v>68.709999999999994</v>
      </c>
      <c r="H64" s="19"/>
      <c r="I64" s="19">
        <f t="shared" si="3"/>
        <v>87.66</v>
      </c>
      <c r="J64" s="19"/>
      <c r="L64" s="21"/>
    </row>
    <row r="65" spans="1:12" s="20" customFormat="1" ht="15.6">
      <c r="A65" s="15" t="s">
        <v>23</v>
      </c>
      <c r="B65" s="22" t="s">
        <v>203</v>
      </c>
      <c r="C65" s="29">
        <f>C66+C68</f>
        <v>19410051.969999999</v>
      </c>
      <c r="D65" s="29">
        <f t="shared" ref="D65:E65" si="51">D66+D68</f>
        <v>14323664.710000001</v>
      </c>
      <c r="E65" s="29">
        <f t="shared" si="51"/>
        <v>12098025.939999999</v>
      </c>
      <c r="F65" s="29">
        <f t="shared" si="1"/>
        <v>2225638.77</v>
      </c>
      <c r="G65" s="29">
        <f t="shared" si="2"/>
        <v>62.33</v>
      </c>
      <c r="H65" s="29"/>
      <c r="I65" s="29">
        <f t="shared" si="3"/>
        <v>84.46</v>
      </c>
      <c r="J65" s="29"/>
      <c r="L65" s="21"/>
    </row>
    <row r="66" spans="1:12" s="20" customFormat="1" ht="46.8">
      <c r="A66" s="18" t="s">
        <v>244</v>
      </c>
      <c r="B66" s="22" t="s">
        <v>204</v>
      </c>
      <c r="C66" s="19">
        <f>C67</f>
        <v>13962739.970000001</v>
      </c>
      <c r="D66" s="19">
        <f t="shared" ref="D66:E66" si="52">D67</f>
        <v>10774867.710000001</v>
      </c>
      <c r="E66" s="19">
        <f t="shared" si="52"/>
        <v>8549228.9399999995</v>
      </c>
      <c r="F66" s="19">
        <f t="shared" si="1"/>
        <v>2225638.77</v>
      </c>
      <c r="G66" s="19">
        <f t="shared" si="2"/>
        <v>61.23</v>
      </c>
      <c r="H66" s="19"/>
      <c r="I66" s="19">
        <f t="shared" si="3"/>
        <v>79.34</v>
      </c>
      <c r="J66" s="19"/>
      <c r="L66" s="21"/>
    </row>
    <row r="67" spans="1:12" s="20" customFormat="1" ht="78">
      <c r="A67" s="34" t="s">
        <v>115</v>
      </c>
      <c r="B67" s="32" t="s">
        <v>343</v>
      </c>
      <c r="C67" s="25">
        <f>13962739.97</f>
        <v>13962739.970000001</v>
      </c>
      <c r="D67" s="25">
        <f t="shared" ref="D67" si="53">13962739.97-3187872.26</f>
        <v>10774867.710000001</v>
      </c>
      <c r="E67" s="25">
        <v>8549228.9399999995</v>
      </c>
      <c r="F67" s="25">
        <f t="shared" si="1"/>
        <v>2225638.77</v>
      </c>
      <c r="G67" s="25">
        <f t="shared" si="2"/>
        <v>61.23</v>
      </c>
      <c r="H67" s="25"/>
      <c r="I67" s="25">
        <f t="shared" si="3"/>
        <v>79.34</v>
      </c>
      <c r="J67" s="25"/>
      <c r="L67" s="21"/>
    </row>
    <row r="68" spans="1:12" s="20" customFormat="1" ht="31.2">
      <c r="A68" s="18" t="s">
        <v>205</v>
      </c>
      <c r="B68" s="22" t="s">
        <v>245</v>
      </c>
      <c r="C68" s="29">
        <f>C69</f>
        <v>5447312</v>
      </c>
      <c r="D68" s="29">
        <f t="shared" ref="D68:E68" si="54">D69</f>
        <v>3548797</v>
      </c>
      <c r="E68" s="29">
        <f t="shared" si="54"/>
        <v>3548797</v>
      </c>
      <c r="F68" s="29">
        <f t="shared" si="1"/>
        <v>0</v>
      </c>
      <c r="G68" s="29">
        <f t="shared" si="2"/>
        <v>65.150000000000006</v>
      </c>
      <c r="H68" s="29"/>
      <c r="I68" s="29">
        <f t="shared" si="3"/>
        <v>100</v>
      </c>
      <c r="J68" s="29"/>
      <c r="L68" s="21"/>
    </row>
    <row r="69" spans="1:12" s="3" customFormat="1" ht="78">
      <c r="A69" s="24" t="s">
        <v>24</v>
      </c>
      <c r="B69" s="30" t="s">
        <v>246</v>
      </c>
      <c r="C69" s="38">
        <f>5447312</f>
        <v>5447312</v>
      </c>
      <c r="D69" s="38">
        <f t="shared" ref="D69:E69" si="55">5447312-1743912-154603</f>
        <v>3548797</v>
      </c>
      <c r="E69" s="38">
        <f t="shared" si="55"/>
        <v>3548797</v>
      </c>
      <c r="F69" s="38">
        <f t="shared" si="1"/>
        <v>0</v>
      </c>
      <c r="G69" s="38">
        <f t="shared" si="2"/>
        <v>65.150000000000006</v>
      </c>
      <c r="H69" s="38"/>
      <c r="I69" s="38">
        <f t="shared" si="3"/>
        <v>100</v>
      </c>
      <c r="J69" s="38"/>
      <c r="L69" s="21"/>
    </row>
    <row r="70" spans="1:12" s="20" customFormat="1" ht="15.6">
      <c r="A70" s="15" t="s">
        <v>7</v>
      </c>
      <c r="B70" s="22" t="s">
        <v>251</v>
      </c>
      <c r="C70" s="19">
        <f>C71+C74</f>
        <v>1000000</v>
      </c>
      <c r="D70" s="19">
        <f t="shared" ref="D70:E70" si="56">D71+D74</f>
        <v>1037112.08</v>
      </c>
      <c r="E70" s="19">
        <f t="shared" si="56"/>
        <v>975043.08</v>
      </c>
      <c r="F70" s="19">
        <f t="shared" si="1"/>
        <v>62069</v>
      </c>
      <c r="G70" s="19">
        <f t="shared" si="2"/>
        <v>97.5</v>
      </c>
      <c r="H70" s="19"/>
      <c r="I70" s="19">
        <f t="shared" si="3"/>
        <v>94.02</v>
      </c>
      <c r="J70" s="19"/>
      <c r="L70" s="21"/>
    </row>
    <row r="71" spans="1:12" s="20" customFormat="1" ht="78">
      <c r="A71" s="33" t="s">
        <v>252</v>
      </c>
      <c r="B71" s="44" t="s">
        <v>345</v>
      </c>
      <c r="C71" s="19">
        <f>C72+C73</f>
        <v>950000</v>
      </c>
      <c r="D71" s="19">
        <f t="shared" ref="D71:E71" si="57">D72+D73</f>
        <v>987112.08</v>
      </c>
      <c r="E71" s="19">
        <f t="shared" si="57"/>
        <v>925043.08</v>
      </c>
      <c r="F71" s="19">
        <f t="shared" si="1"/>
        <v>62069</v>
      </c>
      <c r="G71" s="19">
        <f t="shared" si="2"/>
        <v>97.37</v>
      </c>
      <c r="H71" s="19"/>
      <c r="I71" s="19">
        <f t="shared" si="3"/>
        <v>93.71</v>
      </c>
      <c r="J71" s="19"/>
      <c r="L71" s="21"/>
    </row>
    <row r="72" spans="1:12" s="3" customFormat="1" ht="46.8" outlineLevel="5">
      <c r="A72" s="45" t="s">
        <v>344</v>
      </c>
      <c r="B72" s="37" t="s">
        <v>346</v>
      </c>
      <c r="C72" s="25">
        <v>450000</v>
      </c>
      <c r="D72" s="25">
        <v>450000</v>
      </c>
      <c r="E72" s="25">
        <v>387931</v>
      </c>
      <c r="F72" s="25">
        <f t="shared" si="1"/>
        <v>62069</v>
      </c>
      <c r="G72" s="25">
        <f t="shared" si="2"/>
        <v>86.21</v>
      </c>
      <c r="H72" s="25"/>
      <c r="I72" s="25">
        <f t="shared" si="3"/>
        <v>86.21</v>
      </c>
      <c r="J72" s="25"/>
      <c r="L72" s="21"/>
    </row>
    <row r="73" spans="1:12" s="20" customFormat="1" ht="31.2">
      <c r="A73" s="45" t="s">
        <v>347</v>
      </c>
      <c r="B73" s="37" t="s">
        <v>342</v>
      </c>
      <c r="C73" s="25">
        <f>500000</f>
        <v>500000</v>
      </c>
      <c r="D73" s="25">
        <f t="shared" ref="D73:E73" si="58">500000+37112.08</f>
        <v>537112.07999999996</v>
      </c>
      <c r="E73" s="25">
        <f t="shared" si="58"/>
        <v>537112.07999999996</v>
      </c>
      <c r="F73" s="25">
        <f t="shared" si="1"/>
        <v>0</v>
      </c>
      <c r="G73" s="25">
        <f t="shared" si="2"/>
        <v>107.42</v>
      </c>
      <c r="H73" s="25"/>
      <c r="I73" s="25">
        <f t="shared" si="3"/>
        <v>100</v>
      </c>
      <c r="J73" s="25"/>
      <c r="L73" s="21"/>
    </row>
    <row r="74" spans="1:12" s="20" customFormat="1" ht="46.8">
      <c r="A74" s="33" t="s">
        <v>388</v>
      </c>
      <c r="B74" s="44" t="s">
        <v>385</v>
      </c>
      <c r="C74" s="19">
        <f>C75</f>
        <v>50000</v>
      </c>
      <c r="D74" s="19">
        <f t="shared" ref="D74:E74" si="59">D75</f>
        <v>50000</v>
      </c>
      <c r="E74" s="19">
        <f t="shared" si="59"/>
        <v>50000</v>
      </c>
      <c r="F74" s="19">
        <f t="shared" ref="F74:F137" si="60">$D74-$E74</f>
        <v>0</v>
      </c>
      <c r="G74" s="19">
        <f t="shared" ref="G74:G137" si="61">$E74/$C74*100</f>
        <v>100</v>
      </c>
      <c r="H74" s="19"/>
      <c r="I74" s="19">
        <f t="shared" ref="I74:I137" si="62">$E74/$D74*100</f>
        <v>100</v>
      </c>
      <c r="J74" s="19"/>
      <c r="L74" s="21"/>
    </row>
    <row r="75" spans="1:12" s="3" customFormat="1" ht="31.2" outlineLevel="5">
      <c r="A75" s="45" t="s">
        <v>387</v>
      </c>
      <c r="B75" s="37" t="s">
        <v>386</v>
      </c>
      <c r="C75" s="25">
        <v>50000</v>
      </c>
      <c r="D75" s="25">
        <v>50000</v>
      </c>
      <c r="E75" s="25">
        <v>50000</v>
      </c>
      <c r="F75" s="25">
        <f t="shared" si="60"/>
        <v>0</v>
      </c>
      <c r="G75" s="25">
        <f t="shared" si="61"/>
        <v>100</v>
      </c>
      <c r="H75" s="25"/>
      <c r="I75" s="25">
        <f t="shared" si="62"/>
        <v>100</v>
      </c>
      <c r="J75" s="25"/>
      <c r="L75" s="21"/>
    </row>
    <row r="76" spans="1:12" s="20" customFormat="1" ht="31.2" outlineLevel="5">
      <c r="A76" s="48" t="s">
        <v>240</v>
      </c>
      <c r="B76" s="43" t="s">
        <v>239</v>
      </c>
      <c r="C76" s="19">
        <f>C77</f>
        <v>3528000</v>
      </c>
      <c r="D76" s="19">
        <f t="shared" ref="D76:E77" si="63">D77</f>
        <v>3404530.91</v>
      </c>
      <c r="E76" s="19">
        <f t="shared" si="63"/>
        <v>3375859.86</v>
      </c>
      <c r="F76" s="19">
        <f t="shared" si="60"/>
        <v>28671.05</v>
      </c>
      <c r="G76" s="19">
        <f t="shared" si="61"/>
        <v>95.69</v>
      </c>
      <c r="H76" s="19"/>
      <c r="I76" s="19">
        <f t="shared" si="62"/>
        <v>99.16</v>
      </c>
      <c r="J76" s="19"/>
      <c r="L76" s="21"/>
    </row>
    <row r="77" spans="1:12" s="20" customFormat="1" ht="31.2" outlineLevel="5">
      <c r="A77" s="18" t="s">
        <v>243</v>
      </c>
      <c r="B77" s="22" t="s">
        <v>242</v>
      </c>
      <c r="C77" s="19">
        <f>C78</f>
        <v>3528000</v>
      </c>
      <c r="D77" s="19">
        <f t="shared" si="63"/>
        <v>3404530.91</v>
      </c>
      <c r="E77" s="19">
        <f t="shared" si="63"/>
        <v>3375859.86</v>
      </c>
      <c r="F77" s="19">
        <f t="shared" si="60"/>
        <v>28671.05</v>
      </c>
      <c r="G77" s="19">
        <f t="shared" si="61"/>
        <v>95.69</v>
      </c>
      <c r="H77" s="19"/>
      <c r="I77" s="19">
        <f t="shared" si="62"/>
        <v>99.16</v>
      </c>
      <c r="J77" s="19"/>
      <c r="L77" s="21"/>
    </row>
    <row r="78" spans="1:12" s="3" customFormat="1" ht="15.6">
      <c r="A78" s="24" t="s">
        <v>39</v>
      </c>
      <c r="B78" s="30" t="s">
        <v>241</v>
      </c>
      <c r="C78" s="25">
        <f>3528000</f>
        <v>3528000</v>
      </c>
      <c r="D78" s="25">
        <f t="shared" ref="D78" si="64">3528000+288000+113615-525084.09</f>
        <v>3404530.91</v>
      </c>
      <c r="E78" s="25">
        <v>3375859.86</v>
      </c>
      <c r="F78" s="25">
        <f t="shared" si="60"/>
        <v>28671.05</v>
      </c>
      <c r="G78" s="25">
        <f t="shared" si="61"/>
        <v>95.69</v>
      </c>
      <c r="H78" s="25"/>
      <c r="I78" s="25">
        <f t="shared" si="62"/>
        <v>99.16</v>
      </c>
      <c r="J78" s="25"/>
      <c r="L78" s="21"/>
    </row>
    <row r="79" spans="1:12" s="20" customFormat="1" ht="46.8">
      <c r="A79" s="15" t="s">
        <v>207</v>
      </c>
      <c r="B79" s="43" t="s">
        <v>10</v>
      </c>
      <c r="C79" s="29">
        <f>C80+C84+C88+C99</f>
        <v>85190975.549999997</v>
      </c>
      <c r="D79" s="29">
        <f t="shared" ref="D79:E79" si="65">D80+D84+D88+D99</f>
        <v>107677230.15000001</v>
      </c>
      <c r="E79" s="29">
        <f t="shared" si="65"/>
        <v>107283519.59</v>
      </c>
      <c r="F79" s="29">
        <f t="shared" si="60"/>
        <v>393710.56</v>
      </c>
      <c r="G79" s="29">
        <f t="shared" si="61"/>
        <v>125.93</v>
      </c>
      <c r="H79" s="29"/>
      <c r="I79" s="29">
        <f t="shared" si="62"/>
        <v>99.63</v>
      </c>
      <c r="J79" s="29"/>
      <c r="L79" s="21"/>
    </row>
    <row r="80" spans="1:12" s="20" customFormat="1" ht="46.8">
      <c r="A80" s="15" t="s">
        <v>348</v>
      </c>
      <c r="B80" s="22" t="s">
        <v>11</v>
      </c>
      <c r="C80" s="29">
        <f>C81</f>
        <v>56738838.18</v>
      </c>
      <c r="D80" s="29">
        <f t="shared" ref="D80:E80" si="66">D81</f>
        <v>57802374.810000002</v>
      </c>
      <c r="E80" s="29">
        <f t="shared" si="66"/>
        <v>57551770.560000002</v>
      </c>
      <c r="F80" s="29">
        <f t="shared" si="60"/>
        <v>250604.25</v>
      </c>
      <c r="G80" s="29">
        <f t="shared" si="61"/>
        <v>101.43</v>
      </c>
      <c r="H80" s="29"/>
      <c r="I80" s="29">
        <f t="shared" si="62"/>
        <v>99.57</v>
      </c>
      <c r="J80" s="29"/>
      <c r="L80" s="21"/>
    </row>
    <row r="81" spans="1:12" s="20" customFormat="1" ht="62.4" outlineLevel="5">
      <c r="A81" s="15" t="s">
        <v>349</v>
      </c>
      <c r="B81" s="22" t="s">
        <v>208</v>
      </c>
      <c r="C81" s="29">
        <f>C82+C83</f>
        <v>56738838.18</v>
      </c>
      <c r="D81" s="29">
        <f t="shared" ref="D81:E81" si="67">D82+D83</f>
        <v>57802374.810000002</v>
      </c>
      <c r="E81" s="29">
        <f t="shared" si="67"/>
        <v>57551770.560000002</v>
      </c>
      <c r="F81" s="29">
        <f t="shared" si="60"/>
        <v>250604.25</v>
      </c>
      <c r="G81" s="29">
        <f t="shared" si="61"/>
        <v>101.43</v>
      </c>
      <c r="H81" s="29"/>
      <c r="I81" s="29">
        <f t="shared" si="62"/>
        <v>99.57</v>
      </c>
      <c r="J81" s="29"/>
      <c r="L81" s="21"/>
    </row>
    <row r="82" spans="1:12" s="3" customFormat="1" ht="31.2" outlineLevel="5">
      <c r="A82" s="24" t="s">
        <v>42</v>
      </c>
      <c r="B82" s="30" t="s">
        <v>12</v>
      </c>
      <c r="C82" s="38">
        <f>56338838.18</f>
        <v>56338838.18</v>
      </c>
      <c r="D82" s="38">
        <f t="shared" ref="D82" si="68">56338838.18-1549145.66+2227500+833502.56+1359000-554132.39-800000-130000-620000-500+1180000+291519.58-833502.56-900000-1100000+572361.27-60000-2418.17-817</f>
        <v>56252205.810000002</v>
      </c>
      <c r="E82" s="38">
        <v>56001601.560000002</v>
      </c>
      <c r="F82" s="38">
        <f t="shared" si="60"/>
        <v>250604.25</v>
      </c>
      <c r="G82" s="38">
        <f t="shared" si="61"/>
        <v>99.4</v>
      </c>
      <c r="H82" s="38"/>
      <c r="I82" s="38">
        <f t="shared" si="62"/>
        <v>99.55</v>
      </c>
      <c r="J82" s="38"/>
      <c r="L82" s="21"/>
    </row>
    <row r="83" spans="1:12" s="3" customFormat="1" ht="31.2">
      <c r="A83" s="24" t="s">
        <v>45</v>
      </c>
      <c r="B83" s="30" t="s">
        <v>13</v>
      </c>
      <c r="C83" s="25">
        <f>400000</f>
        <v>400000</v>
      </c>
      <c r="D83" s="25">
        <f t="shared" ref="D83:E83" si="69">400000+1547000-201048.59-197000+1217.59</f>
        <v>1550169</v>
      </c>
      <c r="E83" s="25">
        <f t="shared" si="69"/>
        <v>1550169</v>
      </c>
      <c r="F83" s="25">
        <f t="shared" si="60"/>
        <v>0</v>
      </c>
      <c r="G83" s="25">
        <f t="shared" si="61"/>
        <v>387.54</v>
      </c>
      <c r="H83" s="25"/>
      <c r="I83" s="25">
        <f t="shared" si="62"/>
        <v>100</v>
      </c>
      <c r="J83" s="25"/>
      <c r="L83" s="21"/>
    </row>
    <row r="84" spans="1:12" s="20" customFormat="1" ht="78">
      <c r="A84" s="18" t="s">
        <v>337</v>
      </c>
      <c r="B84" s="22" t="s">
        <v>14</v>
      </c>
      <c r="C84" s="46">
        <f>C85</f>
        <v>14265280</v>
      </c>
      <c r="D84" s="46">
        <f t="shared" ref="D84:E84" si="70">D85</f>
        <v>13800224.869999999</v>
      </c>
      <c r="E84" s="46">
        <f t="shared" si="70"/>
        <v>13697418.82</v>
      </c>
      <c r="F84" s="46">
        <f t="shared" si="60"/>
        <v>102806.05</v>
      </c>
      <c r="G84" s="46">
        <f t="shared" si="61"/>
        <v>96.02</v>
      </c>
      <c r="H84" s="46"/>
      <c r="I84" s="46">
        <f t="shared" si="62"/>
        <v>99.26</v>
      </c>
      <c r="J84" s="46"/>
      <c r="L84" s="21"/>
    </row>
    <row r="85" spans="1:12" s="20" customFormat="1" ht="62.4">
      <c r="A85" s="15" t="s">
        <v>349</v>
      </c>
      <c r="B85" s="22" t="s">
        <v>209</v>
      </c>
      <c r="C85" s="29">
        <f>C86+C87</f>
        <v>14265280</v>
      </c>
      <c r="D85" s="29">
        <f t="shared" ref="D85:E85" si="71">D86+D87</f>
        <v>13800224.869999999</v>
      </c>
      <c r="E85" s="29">
        <f t="shared" si="71"/>
        <v>13697418.82</v>
      </c>
      <c r="F85" s="29">
        <f t="shared" si="60"/>
        <v>102806.05</v>
      </c>
      <c r="G85" s="29">
        <f t="shared" si="61"/>
        <v>96.02</v>
      </c>
      <c r="H85" s="29"/>
      <c r="I85" s="29">
        <f t="shared" si="62"/>
        <v>99.26</v>
      </c>
      <c r="J85" s="29"/>
      <c r="L85" s="21"/>
    </row>
    <row r="86" spans="1:12" s="3" customFormat="1" ht="31.2">
      <c r="A86" s="24" t="s">
        <v>42</v>
      </c>
      <c r="B86" s="47" t="s">
        <v>15</v>
      </c>
      <c r="C86" s="38">
        <f>14092080</f>
        <v>14092080</v>
      </c>
      <c r="D86" s="38">
        <f t="shared" ref="D86" si="72">14092080+128500-589172.54-120000-146336.17-50000-40000+184000+500-140000-22964.81+70000-99400+150000-479.61</f>
        <v>13416726.869999999</v>
      </c>
      <c r="E86" s="38">
        <v>13313920.82</v>
      </c>
      <c r="F86" s="38">
        <f t="shared" si="60"/>
        <v>102806.05</v>
      </c>
      <c r="G86" s="38">
        <f t="shared" si="61"/>
        <v>94.48</v>
      </c>
      <c r="H86" s="38"/>
      <c r="I86" s="38">
        <f t="shared" si="62"/>
        <v>99.23</v>
      </c>
      <c r="J86" s="38"/>
      <c r="L86" s="21"/>
    </row>
    <row r="87" spans="1:12" s="20" customFormat="1" ht="31.2">
      <c r="A87" s="24" t="s">
        <v>45</v>
      </c>
      <c r="B87" s="30" t="s">
        <v>16</v>
      </c>
      <c r="C87" s="25">
        <f>173200</f>
        <v>173200</v>
      </c>
      <c r="D87" s="25">
        <f t="shared" ref="D87:E87" si="73">173200+295400+385000-470102</f>
        <v>383498</v>
      </c>
      <c r="E87" s="25">
        <f t="shared" si="73"/>
        <v>383498</v>
      </c>
      <c r="F87" s="25">
        <f t="shared" si="60"/>
        <v>0</v>
      </c>
      <c r="G87" s="25">
        <f t="shared" si="61"/>
        <v>221.42</v>
      </c>
      <c r="H87" s="25"/>
      <c r="I87" s="25">
        <f t="shared" si="62"/>
        <v>100</v>
      </c>
      <c r="J87" s="25"/>
      <c r="L87" s="21"/>
    </row>
    <row r="88" spans="1:12" s="20" customFormat="1" ht="31.2">
      <c r="A88" s="48" t="s">
        <v>211</v>
      </c>
      <c r="B88" s="22" t="s">
        <v>70</v>
      </c>
      <c r="C88" s="29">
        <f>C89+C96</f>
        <v>2259707.37</v>
      </c>
      <c r="D88" s="29">
        <f t="shared" ref="D88:E88" si="74">D89+D96</f>
        <v>21243005.699999999</v>
      </c>
      <c r="E88" s="29">
        <f t="shared" si="74"/>
        <v>21243005.32</v>
      </c>
      <c r="F88" s="29">
        <f t="shared" si="60"/>
        <v>0.38</v>
      </c>
      <c r="G88" s="29">
        <f t="shared" si="61"/>
        <v>940.08</v>
      </c>
      <c r="H88" s="29"/>
      <c r="I88" s="29">
        <f t="shared" si="62"/>
        <v>100</v>
      </c>
      <c r="J88" s="29"/>
      <c r="L88" s="21"/>
    </row>
    <row r="89" spans="1:12" s="20" customFormat="1" ht="46.8">
      <c r="A89" s="48" t="s">
        <v>212</v>
      </c>
      <c r="B89" s="22" t="s">
        <v>210</v>
      </c>
      <c r="C89" s="29">
        <f>C90+C91+C92+C93+C94+C95</f>
        <v>2259707.37</v>
      </c>
      <c r="D89" s="29">
        <f t="shared" ref="D89:E89" si="75">D90+D91+D92+D93+D94+D95</f>
        <v>2161710</v>
      </c>
      <c r="E89" s="29">
        <f t="shared" si="75"/>
        <v>2161709.62</v>
      </c>
      <c r="F89" s="29">
        <f t="shared" si="60"/>
        <v>0.38</v>
      </c>
      <c r="G89" s="29">
        <f t="shared" si="61"/>
        <v>95.66</v>
      </c>
      <c r="H89" s="29"/>
      <c r="I89" s="29">
        <f t="shared" si="62"/>
        <v>100</v>
      </c>
      <c r="J89" s="29"/>
      <c r="L89" s="21"/>
    </row>
    <row r="90" spans="1:12" s="3" customFormat="1" ht="62.4">
      <c r="A90" s="34" t="s">
        <v>84</v>
      </c>
      <c r="B90" s="42" t="s">
        <v>94</v>
      </c>
      <c r="C90" s="25">
        <v>168005</v>
      </c>
      <c r="D90" s="25">
        <v>168005</v>
      </c>
      <c r="E90" s="25">
        <v>168005</v>
      </c>
      <c r="F90" s="25">
        <f t="shared" si="60"/>
        <v>0</v>
      </c>
      <c r="G90" s="25">
        <f t="shared" si="61"/>
        <v>100</v>
      </c>
      <c r="H90" s="25"/>
      <c r="I90" s="25">
        <f t="shared" si="62"/>
        <v>100</v>
      </c>
      <c r="J90" s="25"/>
      <c r="L90" s="21"/>
    </row>
    <row r="91" spans="1:12" s="3" customFormat="1" ht="62.4">
      <c r="A91" s="53" t="s">
        <v>127</v>
      </c>
      <c r="B91" s="37" t="s">
        <v>78</v>
      </c>
      <c r="C91" s="25">
        <v>1978717</v>
      </c>
      <c r="D91" s="25">
        <v>1978717</v>
      </c>
      <c r="E91" s="25">
        <v>1978716.62</v>
      </c>
      <c r="F91" s="25">
        <f t="shared" si="60"/>
        <v>0.38</v>
      </c>
      <c r="G91" s="25">
        <f t="shared" si="61"/>
        <v>100</v>
      </c>
      <c r="H91" s="25"/>
      <c r="I91" s="25">
        <f t="shared" si="62"/>
        <v>100</v>
      </c>
      <c r="J91" s="25"/>
      <c r="L91" s="21"/>
    </row>
    <row r="92" spans="1:12" s="3" customFormat="1" ht="62.4">
      <c r="A92" s="45" t="s">
        <v>77</v>
      </c>
      <c r="B92" s="37" t="s">
        <v>78</v>
      </c>
      <c r="C92" s="25">
        <f>104143</f>
        <v>104143</v>
      </c>
      <c r="D92" s="25">
        <f t="shared" ref="D92:E92" si="76">104143-94351.41+0.38</f>
        <v>9791.9699999999993</v>
      </c>
      <c r="E92" s="25">
        <f t="shared" si="76"/>
        <v>9791.9699999999993</v>
      </c>
      <c r="F92" s="25">
        <f t="shared" si="60"/>
        <v>0</v>
      </c>
      <c r="G92" s="25">
        <f t="shared" si="61"/>
        <v>9.4</v>
      </c>
      <c r="H92" s="25"/>
      <c r="I92" s="25">
        <f t="shared" si="62"/>
        <v>100</v>
      </c>
      <c r="J92" s="25"/>
      <c r="L92" s="21"/>
    </row>
    <row r="93" spans="1:12" s="3" customFormat="1" ht="78">
      <c r="A93" s="34" t="s">
        <v>129</v>
      </c>
      <c r="B93" s="42" t="s">
        <v>130</v>
      </c>
      <c r="C93" s="38">
        <v>0</v>
      </c>
      <c r="D93" s="38">
        <v>0</v>
      </c>
      <c r="E93" s="38">
        <v>0</v>
      </c>
      <c r="F93" s="38">
        <f t="shared" si="60"/>
        <v>0</v>
      </c>
      <c r="G93" s="38" t="e">
        <f t="shared" si="61"/>
        <v>#DIV/0!</v>
      </c>
      <c r="H93" s="38"/>
      <c r="I93" s="38" t="e">
        <f t="shared" si="62"/>
        <v>#DIV/0!</v>
      </c>
      <c r="J93" s="38"/>
      <c r="L93" s="21"/>
    </row>
    <row r="94" spans="1:12" s="3" customFormat="1" ht="78">
      <c r="A94" s="49" t="s">
        <v>128</v>
      </c>
      <c r="B94" s="42" t="s">
        <v>130</v>
      </c>
      <c r="C94" s="38">
        <v>0</v>
      </c>
      <c r="D94" s="38">
        <v>0</v>
      </c>
      <c r="E94" s="38">
        <v>0</v>
      </c>
      <c r="F94" s="38">
        <f t="shared" si="60"/>
        <v>0</v>
      </c>
      <c r="G94" s="38" t="e">
        <f t="shared" si="61"/>
        <v>#DIV/0!</v>
      </c>
      <c r="H94" s="38"/>
      <c r="I94" s="38" t="e">
        <f t="shared" si="62"/>
        <v>#DIV/0!</v>
      </c>
      <c r="J94" s="38"/>
      <c r="L94" s="21"/>
    </row>
    <row r="95" spans="1:12" s="3" customFormat="1" ht="78">
      <c r="A95" s="34" t="s">
        <v>93</v>
      </c>
      <c r="B95" s="42" t="s">
        <v>94</v>
      </c>
      <c r="C95" s="25">
        <f>8842.37</f>
        <v>8842.3700000000008</v>
      </c>
      <c r="D95" s="25">
        <f t="shared" ref="D95:E95" si="77">8842.37-3646.34</f>
        <v>5196.03</v>
      </c>
      <c r="E95" s="25">
        <f t="shared" si="77"/>
        <v>5196.03</v>
      </c>
      <c r="F95" s="25">
        <f t="shared" si="60"/>
        <v>0</v>
      </c>
      <c r="G95" s="25">
        <f t="shared" si="61"/>
        <v>58.76</v>
      </c>
      <c r="H95" s="25"/>
      <c r="I95" s="25">
        <f t="shared" si="62"/>
        <v>100</v>
      </c>
      <c r="J95" s="25"/>
      <c r="L95" s="21"/>
    </row>
    <row r="96" spans="1:12" s="20" customFormat="1" ht="15.6">
      <c r="A96" s="26" t="s">
        <v>412</v>
      </c>
      <c r="B96" s="27" t="s">
        <v>411</v>
      </c>
      <c r="C96" s="19">
        <f>C97+C98</f>
        <v>0</v>
      </c>
      <c r="D96" s="19">
        <f t="shared" ref="D96:E96" si="78">D97+D98</f>
        <v>19081295.699999999</v>
      </c>
      <c r="E96" s="19">
        <f t="shared" si="78"/>
        <v>19081295.699999999</v>
      </c>
      <c r="F96" s="19">
        <f t="shared" si="60"/>
        <v>0</v>
      </c>
      <c r="G96" s="19" t="e">
        <f t="shared" si="61"/>
        <v>#DIV/0!</v>
      </c>
      <c r="H96" s="19"/>
      <c r="I96" s="19">
        <f t="shared" si="62"/>
        <v>100</v>
      </c>
      <c r="J96" s="19"/>
      <c r="L96" s="21"/>
    </row>
    <row r="97" spans="1:12" s="3" customFormat="1" ht="31.2">
      <c r="A97" s="23" t="s">
        <v>414</v>
      </c>
      <c r="B97" s="42" t="s">
        <v>413</v>
      </c>
      <c r="C97" s="25">
        <f>0</f>
        <v>0</v>
      </c>
      <c r="D97" s="25">
        <f t="shared" ref="D97:E97" si="79">0+16150357.14+3417629.28-580648.65</f>
        <v>18987337.77</v>
      </c>
      <c r="E97" s="25">
        <f t="shared" si="79"/>
        <v>18987337.77</v>
      </c>
      <c r="F97" s="25">
        <f t="shared" si="60"/>
        <v>0</v>
      </c>
      <c r="G97" s="25" t="e">
        <f t="shared" si="61"/>
        <v>#DIV/0!</v>
      </c>
      <c r="H97" s="25"/>
      <c r="I97" s="25">
        <f t="shared" si="62"/>
        <v>100</v>
      </c>
      <c r="J97" s="25"/>
      <c r="L97" s="21"/>
    </row>
    <row r="98" spans="1:12" s="3" customFormat="1" ht="31.2">
      <c r="A98" s="23" t="s">
        <v>415</v>
      </c>
      <c r="B98" s="42" t="s">
        <v>413</v>
      </c>
      <c r="C98" s="25">
        <v>0</v>
      </c>
      <c r="D98" s="25">
        <f t="shared" ref="D98:E98" si="80">0+79919.3+16911.97-2873.34</f>
        <v>93957.93</v>
      </c>
      <c r="E98" s="25">
        <f t="shared" si="80"/>
        <v>93957.93</v>
      </c>
      <c r="F98" s="25">
        <f t="shared" si="60"/>
        <v>0</v>
      </c>
      <c r="G98" s="25" t="e">
        <f t="shared" si="61"/>
        <v>#DIV/0!</v>
      </c>
      <c r="H98" s="25"/>
      <c r="I98" s="25">
        <f t="shared" si="62"/>
        <v>100</v>
      </c>
      <c r="J98" s="25"/>
      <c r="L98" s="21"/>
    </row>
    <row r="99" spans="1:12" s="20" customFormat="1" ht="62.4">
      <c r="A99" s="18" t="s">
        <v>213</v>
      </c>
      <c r="B99" s="43" t="s">
        <v>17</v>
      </c>
      <c r="C99" s="29">
        <f>C100</f>
        <v>11927150</v>
      </c>
      <c r="D99" s="29">
        <f t="shared" ref="D99:E99" si="81">D100</f>
        <v>14831624.77</v>
      </c>
      <c r="E99" s="29">
        <f t="shared" si="81"/>
        <v>14791324.890000001</v>
      </c>
      <c r="F99" s="29">
        <f t="shared" si="60"/>
        <v>40299.879999999997</v>
      </c>
      <c r="G99" s="29">
        <f t="shared" si="61"/>
        <v>124.01</v>
      </c>
      <c r="H99" s="29"/>
      <c r="I99" s="29">
        <f t="shared" si="62"/>
        <v>99.73</v>
      </c>
      <c r="J99" s="29"/>
      <c r="L99" s="21"/>
    </row>
    <row r="100" spans="1:12" s="20" customFormat="1" ht="62.4">
      <c r="A100" s="18" t="s">
        <v>349</v>
      </c>
      <c r="B100" s="43" t="s">
        <v>350</v>
      </c>
      <c r="C100" s="29">
        <f>C101+C102</f>
        <v>11927150</v>
      </c>
      <c r="D100" s="29">
        <f t="shared" ref="D100:E100" si="82">D101+D102</f>
        <v>14831624.77</v>
      </c>
      <c r="E100" s="29">
        <f t="shared" si="82"/>
        <v>14791324.890000001</v>
      </c>
      <c r="F100" s="29">
        <f t="shared" si="60"/>
        <v>40299.879999999997</v>
      </c>
      <c r="G100" s="29">
        <f t="shared" si="61"/>
        <v>124.01</v>
      </c>
      <c r="H100" s="29"/>
      <c r="I100" s="29">
        <f t="shared" si="62"/>
        <v>99.73</v>
      </c>
      <c r="J100" s="29"/>
      <c r="L100" s="21"/>
    </row>
    <row r="101" spans="1:12" s="3" customFormat="1" ht="31.2">
      <c r="A101" s="24" t="s">
        <v>42</v>
      </c>
      <c r="B101" s="47" t="s">
        <v>214</v>
      </c>
      <c r="C101" s="38">
        <f>11927150</f>
        <v>11927150</v>
      </c>
      <c r="D101" s="38">
        <f t="shared" ref="D101" si="83">11927150+42500-198025.23+1000000+690000-50000+1200000+120000+100000</f>
        <v>14831624.77</v>
      </c>
      <c r="E101" s="38">
        <v>14791324.890000001</v>
      </c>
      <c r="F101" s="38">
        <f t="shared" si="60"/>
        <v>40299.879999999997</v>
      </c>
      <c r="G101" s="38">
        <f t="shared" si="61"/>
        <v>124.01</v>
      </c>
      <c r="H101" s="38"/>
      <c r="I101" s="38">
        <f t="shared" si="62"/>
        <v>99.73</v>
      </c>
      <c r="J101" s="38"/>
      <c r="L101" s="21"/>
    </row>
    <row r="102" spans="1:12" s="20" customFormat="1" ht="31.2">
      <c r="A102" s="24" t="s">
        <v>45</v>
      </c>
      <c r="B102" s="30" t="s">
        <v>215</v>
      </c>
      <c r="C102" s="25">
        <v>0</v>
      </c>
      <c r="D102" s="25">
        <v>0</v>
      </c>
      <c r="E102" s="25">
        <v>0</v>
      </c>
      <c r="F102" s="25">
        <f t="shared" si="60"/>
        <v>0</v>
      </c>
      <c r="G102" s="25" t="e">
        <f t="shared" si="61"/>
        <v>#DIV/0!</v>
      </c>
      <c r="H102" s="25"/>
      <c r="I102" s="25" t="e">
        <f t="shared" si="62"/>
        <v>#DIV/0!</v>
      </c>
      <c r="J102" s="25"/>
      <c r="L102" s="21"/>
    </row>
    <row r="103" spans="1:12" s="20" customFormat="1" ht="62.4">
      <c r="A103" s="15" t="s">
        <v>247</v>
      </c>
      <c r="B103" s="18" t="s">
        <v>68</v>
      </c>
      <c r="C103" s="29">
        <f>C104+C108+C113+C129</f>
        <v>65527164.729999997</v>
      </c>
      <c r="D103" s="29">
        <f t="shared" ref="D103:E103" si="84">D104+D108+D113+D129</f>
        <v>71962455.099999994</v>
      </c>
      <c r="E103" s="29">
        <f t="shared" si="84"/>
        <v>67997698.799999997</v>
      </c>
      <c r="F103" s="29">
        <f t="shared" si="60"/>
        <v>3964756.3</v>
      </c>
      <c r="G103" s="29">
        <f t="shared" si="61"/>
        <v>103.77</v>
      </c>
      <c r="H103" s="29"/>
      <c r="I103" s="29">
        <f t="shared" si="62"/>
        <v>94.49</v>
      </c>
      <c r="J103" s="29"/>
      <c r="L103" s="21"/>
    </row>
    <row r="104" spans="1:12" s="20" customFormat="1" ht="31.2">
      <c r="A104" s="15" t="s">
        <v>248</v>
      </c>
      <c r="B104" s="22" t="s">
        <v>6</v>
      </c>
      <c r="C104" s="29">
        <f>C105</f>
        <v>6366471.4699999997</v>
      </c>
      <c r="D104" s="29">
        <f t="shared" ref="D104:E104" si="85">D105</f>
        <v>7679975</v>
      </c>
      <c r="E104" s="29">
        <f t="shared" si="85"/>
        <v>7679975</v>
      </c>
      <c r="F104" s="29">
        <f t="shared" si="60"/>
        <v>0</v>
      </c>
      <c r="G104" s="29">
        <f t="shared" si="61"/>
        <v>120.63</v>
      </c>
      <c r="H104" s="29"/>
      <c r="I104" s="29">
        <f t="shared" si="62"/>
        <v>100</v>
      </c>
      <c r="J104" s="29"/>
      <c r="L104" s="21"/>
    </row>
    <row r="105" spans="1:12" s="20" customFormat="1" ht="31.2">
      <c r="A105" s="15" t="s">
        <v>336</v>
      </c>
      <c r="B105" s="22" t="s">
        <v>249</v>
      </c>
      <c r="C105" s="29">
        <f>C106+C107</f>
        <v>6366471.4699999997</v>
      </c>
      <c r="D105" s="29">
        <f t="shared" ref="D105:E105" si="86">D106+D107</f>
        <v>7679975</v>
      </c>
      <c r="E105" s="29">
        <f t="shared" si="86"/>
        <v>7679975</v>
      </c>
      <c r="F105" s="29">
        <f t="shared" si="60"/>
        <v>0</v>
      </c>
      <c r="G105" s="29">
        <f t="shared" si="61"/>
        <v>120.63</v>
      </c>
      <c r="H105" s="29"/>
      <c r="I105" s="29">
        <f t="shared" si="62"/>
        <v>100</v>
      </c>
      <c r="J105" s="29"/>
      <c r="L105" s="21"/>
    </row>
    <row r="106" spans="1:12" s="3" customFormat="1" ht="46.8">
      <c r="A106" s="34" t="s">
        <v>134</v>
      </c>
      <c r="B106" s="30" t="s">
        <v>76</v>
      </c>
      <c r="C106" s="38">
        <f>4715904.79</f>
        <v>4715904.79</v>
      </c>
      <c r="D106" s="38">
        <f t="shared" ref="D106:E106" si="87">4715904.79+1313503.53</f>
        <v>6029408.3200000003</v>
      </c>
      <c r="E106" s="38">
        <f t="shared" si="87"/>
        <v>6029408.3200000003</v>
      </c>
      <c r="F106" s="38">
        <f t="shared" si="60"/>
        <v>0</v>
      </c>
      <c r="G106" s="38">
        <f t="shared" si="61"/>
        <v>127.85</v>
      </c>
      <c r="H106" s="38"/>
      <c r="I106" s="38">
        <f t="shared" si="62"/>
        <v>100</v>
      </c>
      <c r="J106" s="38"/>
      <c r="L106" s="21"/>
    </row>
    <row r="107" spans="1:12" s="3" customFormat="1" ht="31.2">
      <c r="A107" s="24" t="s">
        <v>135</v>
      </c>
      <c r="B107" s="30" t="s">
        <v>76</v>
      </c>
      <c r="C107" s="25">
        <v>1650566.68</v>
      </c>
      <c r="D107" s="25">
        <v>1650566.68</v>
      </c>
      <c r="E107" s="25">
        <v>1650566.68</v>
      </c>
      <c r="F107" s="25">
        <f t="shared" si="60"/>
        <v>0</v>
      </c>
      <c r="G107" s="25">
        <f t="shared" si="61"/>
        <v>100</v>
      </c>
      <c r="H107" s="25"/>
      <c r="I107" s="25">
        <f t="shared" si="62"/>
        <v>100</v>
      </c>
      <c r="J107" s="25"/>
      <c r="L107" s="21"/>
    </row>
    <row r="108" spans="1:12" s="20" customFormat="1" ht="62.4">
      <c r="A108" s="15" t="s">
        <v>250</v>
      </c>
      <c r="B108" s="22" t="s">
        <v>86</v>
      </c>
      <c r="C108" s="29">
        <f>C109</f>
        <v>36363379.560000002</v>
      </c>
      <c r="D108" s="29">
        <f t="shared" ref="D108:E108" si="88">D109</f>
        <v>38295159.07</v>
      </c>
      <c r="E108" s="29">
        <f t="shared" si="88"/>
        <v>36704247.07</v>
      </c>
      <c r="F108" s="29">
        <f t="shared" si="60"/>
        <v>1590912</v>
      </c>
      <c r="G108" s="29">
        <f t="shared" si="61"/>
        <v>100.94</v>
      </c>
      <c r="H108" s="29"/>
      <c r="I108" s="29">
        <f t="shared" si="62"/>
        <v>95.85</v>
      </c>
      <c r="J108" s="29"/>
      <c r="L108" s="21"/>
    </row>
    <row r="109" spans="1:12" s="20" customFormat="1" ht="62.4">
      <c r="A109" s="15" t="s">
        <v>85</v>
      </c>
      <c r="B109" s="22" t="s">
        <v>87</v>
      </c>
      <c r="C109" s="29">
        <f>C110+C111+C112</f>
        <v>36363379.560000002</v>
      </c>
      <c r="D109" s="29">
        <f t="shared" ref="D109:E109" si="89">D110+D111+D112</f>
        <v>38295159.07</v>
      </c>
      <c r="E109" s="29">
        <f t="shared" si="89"/>
        <v>36704247.07</v>
      </c>
      <c r="F109" s="29">
        <f t="shared" si="60"/>
        <v>1590912</v>
      </c>
      <c r="G109" s="29">
        <f t="shared" si="61"/>
        <v>100.94</v>
      </c>
      <c r="H109" s="29"/>
      <c r="I109" s="29">
        <f t="shared" si="62"/>
        <v>95.85</v>
      </c>
      <c r="J109" s="29"/>
      <c r="L109" s="21"/>
    </row>
    <row r="110" spans="1:12" s="20" customFormat="1" ht="62.4">
      <c r="A110" s="34" t="s">
        <v>104</v>
      </c>
      <c r="B110" s="37" t="s">
        <v>121</v>
      </c>
      <c r="C110" s="25">
        <f>13621230</f>
        <v>13621230</v>
      </c>
      <c r="D110" s="25">
        <f t="shared" ref="D110:E110" si="90">13621230-70830-1355136</f>
        <v>12195264</v>
      </c>
      <c r="E110" s="25">
        <f t="shared" si="90"/>
        <v>12195264</v>
      </c>
      <c r="F110" s="25">
        <f t="shared" si="60"/>
        <v>0</v>
      </c>
      <c r="G110" s="25">
        <f t="shared" si="61"/>
        <v>89.53</v>
      </c>
      <c r="H110" s="25"/>
      <c r="I110" s="25">
        <f t="shared" si="62"/>
        <v>100</v>
      </c>
      <c r="J110" s="25"/>
      <c r="L110" s="21"/>
    </row>
    <row r="111" spans="1:12" s="3" customFormat="1" ht="62.4">
      <c r="A111" s="34" t="s">
        <v>416</v>
      </c>
      <c r="B111" s="37" t="s">
        <v>417</v>
      </c>
      <c r="C111" s="25">
        <v>21497171.399999999</v>
      </c>
      <c r="D111" s="25">
        <f t="shared" ref="D111" si="91">18067200+2581504.2-2581504.2+6000000</f>
        <v>24067200</v>
      </c>
      <c r="E111" s="25">
        <v>22476288</v>
      </c>
      <c r="F111" s="25">
        <f t="shared" si="60"/>
        <v>1590912</v>
      </c>
      <c r="G111" s="25">
        <f t="shared" si="61"/>
        <v>104.55</v>
      </c>
      <c r="H111" s="25"/>
      <c r="I111" s="25">
        <f t="shared" si="62"/>
        <v>93.39</v>
      </c>
      <c r="J111" s="25"/>
      <c r="L111" s="21"/>
    </row>
    <row r="112" spans="1:12" s="20" customFormat="1" ht="93.6">
      <c r="A112" s="34" t="s">
        <v>423</v>
      </c>
      <c r="B112" s="37" t="s">
        <v>417</v>
      </c>
      <c r="C112" s="25">
        <v>1244978.1599999999</v>
      </c>
      <c r="D112" s="25">
        <v>2032695.07</v>
      </c>
      <c r="E112" s="25">
        <v>2032695.07</v>
      </c>
      <c r="F112" s="25">
        <f t="shared" si="60"/>
        <v>0</v>
      </c>
      <c r="G112" s="25">
        <f t="shared" si="61"/>
        <v>163.27000000000001</v>
      </c>
      <c r="H112" s="25"/>
      <c r="I112" s="25">
        <f t="shared" si="62"/>
        <v>100</v>
      </c>
      <c r="J112" s="25"/>
      <c r="L112" s="21"/>
    </row>
    <row r="113" spans="1:12" s="20" customFormat="1" ht="46.8">
      <c r="A113" s="33" t="s">
        <v>289</v>
      </c>
      <c r="B113" s="44" t="s">
        <v>72</v>
      </c>
      <c r="C113" s="19">
        <f>C114+C119+C124+C127</f>
        <v>19593313.699999999</v>
      </c>
      <c r="D113" s="19">
        <f t="shared" ref="D113:E113" si="92">D114+D119+D124+D127</f>
        <v>21848152.5</v>
      </c>
      <c r="E113" s="19">
        <f t="shared" si="92"/>
        <v>19844162.050000001</v>
      </c>
      <c r="F113" s="19">
        <f t="shared" si="60"/>
        <v>2003990.45</v>
      </c>
      <c r="G113" s="19">
        <f t="shared" si="61"/>
        <v>101.28</v>
      </c>
      <c r="H113" s="19"/>
      <c r="I113" s="19">
        <f t="shared" si="62"/>
        <v>90.83</v>
      </c>
      <c r="J113" s="19"/>
      <c r="L113" s="21"/>
    </row>
    <row r="114" spans="1:12" s="20" customFormat="1" ht="46.8">
      <c r="A114" s="33" t="s">
        <v>300</v>
      </c>
      <c r="B114" s="44" t="s">
        <v>301</v>
      </c>
      <c r="C114" s="19">
        <f>C115+C116+C117+C118</f>
        <v>10064189.26</v>
      </c>
      <c r="D114" s="19">
        <f t="shared" ref="D114:E114" si="93">D115+D116+D117+D118</f>
        <v>8708177.8000000007</v>
      </c>
      <c r="E114" s="19">
        <f t="shared" si="93"/>
        <v>7984236.25</v>
      </c>
      <c r="F114" s="19">
        <f t="shared" si="60"/>
        <v>723941.55</v>
      </c>
      <c r="G114" s="19">
        <f t="shared" si="61"/>
        <v>79.33</v>
      </c>
      <c r="H114" s="19"/>
      <c r="I114" s="19">
        <f t="shared" si="62"/>
        <v>91.69</v>
      </c>
      <c r="J114" s="19"/>
      <c r="L114" s="21"/>
    </row>
    <row r="115" spans="1:12" s="20" customFormat="1" ht="31.2">
      <c r="A115" s="34" t="s">
        <v>302</v>
      </c>
      <c r="B115" s="37" t="s">
        <v>303</v>
      </c>
      <c r="C115" s="38">
        <f>288213.5</f>
        <v>288213.5</v>
      </c>
      <c r="D115" s="38">
        <f t="shared" ref="D115:E115" si="94">288213.5-288213.5</f>
        <v>0</v>
      </c>
      <c r="E115" s="38">
        <f t="shared" si="94"/>
        <v>0</v>
      </c>
      <c r="F115" s="38">
        <f t="shared" si="60"/>
        <v>0</v>
      </c>
      <c r="G115" s="38">
        <f t="shared" si="61"/>
        <v>0</v>
      </c>
      <c r="H115" s="38"/>
      <c r="I115" s="38" t="e">
        <f t="shared" si="62"/>
        <v>#DIV/0!</v>
      </c>
      <c r="J115" s="38"/>
      <c r="L115" s="21"/>
    </row>
    <row r="116" spans="1:12" s="20" customFormat="1" ht="62.4">
      <c r="A116" s="45" t="s">
        <v>131</v>
      </c>
      <c r="B116" s="24" t="s">
        <v>132</v>
      </c>
      <c r="C116" s="25">
        <f>9021913.12</f>
        <v>9021913.1199999992</v>
      </c>
      <c r="D116" s="25">
        <f t="shared" ref="D116" si="95">9021913.12-574980.65</f>
        <v>8446932.4700000007</v>
      </c>
      <c r="E116" s="25">
        <v>7744709.1600000001</v>
      </c>
      <c r="F116" s="25">
        <f t="shared" si="60"/>
        <v>702223.31</v>
      </c>
      <c r="G116" s="25">
        <f t="shared" si="61"/>
        <v>85.84</v>
      </c>
      <c r="H116" s="25"/>
      <c r="I116" s="25">
        <f t="shared" si="62"/>
        <v>91.69</v>
      </c>
      <c r="J116" s="25"/>
      <c r="L116" s="21"/>
    </row>
    <row r="117" spans="1:12" s="20" customFormat="1" ht="62.4">
      <c r="A117" s="45" t="s">
        <v>133</v>
      </c>
      <c r="B117" s="24" t="s">
        <v>132</v>
      </c>
      <c r="C117" s="25">
        <f>91130.44</f>
        <v>91130.44</v>
      </c>
      <c r="D117" s="25">
        <f t="shared" ref="D117" si="96">91130.44-18373.08+206270.88-17782.91</f>
        <v>261245.33</v>
      </c>
      <c r="E117" s="25">
        <v>239527.09</v>
      </c>
      <c r="F117" s="25">
        <f t="shared" si="60"/>
        <v>21718.240000000002</v>
      </c>
      <c r="G117" s="25">
        <f t="shared" si="61"/>
        <v>262.83999999999997</v>
      </c>
      <c r="H117" s="25"/>
      <c r="I117" s="25">
        <f t="shared" si="62"/>
        <v>91.69</v>
      </c>
      <c r="J117" s="25"/>
      <c r="L117" s="21"/>
    </row>
    <row r="118" spans="1:12" s="20" customFormat="1" ht="78">
      <c r="A118" s="45" t="s">
        <v>304</v>
      </c>
      <c r="B118" s="37" t="s">
        <v>75</v>
      </c>
      <c r="C118" s="25">
        <f>662932.2</f>
        <v>662932.19999999995</v>
      </c>
      <c r="D118" s="25">
        <f t="shared" ref="D118:E118" si="97">662932.2-662932.2</f>
        <v>0</v>
      </c>
      <c r="E118" s="25">
        <f t="shared" si="97"/>
        <v>0</v>
      </c>
      <c r="F118" s="25">
        <f t="shared" si="60"/>
        <v>0</v>
      </c>
      <c r="G118" s="25">
        <f t="shared" si="61"/>
        <v>0</v>
      </c>
      <c r="H118" s="25"/>
      <c r="I118" s="25" t="e">
        <f t="shared" si="62"/>
        <v>#DIV/0!</v>
      </c>
      <c r="J118" s="25"/>
      <c r="L118" s="21"/>
    </row>
    <row r="119" spans="1:12" s="20" customFormat="1" ht="31.2">
      <c r="A119" s="33" t="s">
        <v>290</v>
      </c>
      <c r="B119" s="44" t="s">
        <v>291</v>
      </c>
      <c r="C119" s="19">
        <f>C120+C121+C122+C123</f>
        <v>7419038.4699999997</v>
      </c>
      <c r="D119" s="19">
        <f t="shared" ref="D119:E119" si="98">D120+D121+D122+D123</f>
        <v>5641731.7300000004</v>
      </c>
      <c r="E119" s="19">
        <f t="shared" si="98"/>
        <v>5427120.5599999996</v>
      </c>
      <c r="F119" s="19">
        <f t="shared" si="60"/>
        <v>214611.17</v>
      </c>
      <c r="G119" s="19">
        <f t="shared" si="61"/>
        <v>73.150000000000006</v>
      </c>
      <c r="H119" s="19"/>
      <c r="I119" s="19">
        <f t="shared" si="62"/>
        <v>96.2</v>
      </c>
      <c r="J119" s="19"/>
      <c r="L119" s="21"/>
    </row>
    <row r="120" spans="1:12" s="20" customFormat="1" ht="31.2">
      <c r="A120" s="45" t="s">
        <v>79</v>
      </c>
      <c r="B120" s="45" t="s">
        <v>80</v>
      </c>
      <c r="C120" s="25">
        <f>850000</f>
        <v>850000</v>
      </c>
      <c r="D120" s="25">
        <f t="shared" ref="D120" si="99">850000-794077.56</f>
        <v>55922.44</v>
      </c>
      <c r="E120" s="25">
        <v>50520.65</v>
      </c>
      <c r="F120" s="25">
        <f t="shared" si="60"/>
        <v>5401.79</v>
      </c>
      <c r="G120" s="25">
        <f t="shared" si="61"/>
        <v>5.94</v>
      </c>
      <c r="H120" s="25"/>
      <c r="I120" s="25">
        <f t="shared" si="62"/>
        <v>90.34</v>
      </c>
      <c r="J120" s="25"/>
      <c r="L120" s="21"/>
    </row>
    <row r="121" spans="1:12" s="20" customFormat="1" ht="46.8">
      <c r="A121" s="45" t="s">
        <v>294</v>
      </c>
      <c r="B121" s="45" t="s">
        <v>293</v>
      </c>
      <c r="C121" s="25">
        <f>2637200.47</f>
        <v>2637200.4700000002</v>
      </c>
      <c r="D121" s="25">
        <f t="shared" ref="D121" si="100">2637200.47+200000-200000+2000000-22954.64+294123.43</f>
        <v>4908369.26</v>
      </c>
      <c r="E121" s="25">
        <v>4699159.91</v>
      </c>
      <c r="F121" s="25">
        <f t="shared" si="60"/>
        <v>209209.35</v>
      </c>
      <c r="G121" s="25">
        <f t="shared" si="61"/>
        <v>178.19</v>
      </c>
      <c r="H121" s="25"/>
      <c r="I121" s="25">
        <f t="shared" si="62"/>
        <v>95.74</v>
      </c>
      <c r="J121" s="25"/>
      <c r="L121" s="21"/>
    </row>
    <row r="122" spans="1:12" s="20" customFormat="1" ht="46.8">
      <c r="A122" s="45" t="s">
        <v>382</v>
      </c>
      <c r="B122" s="45" t="s">
        <v>292</v>
      </c>
      <c r="C122" s="25">
        <f>1000000</f>
        <v>1000000</v>
      </c>
      <c r="D122" s="25">
        <f t="shared" ref="D122:E122" si="101">1000000-900000-100000</f>
        <v>0</v>
      </c>
      <c r="E122" s="25">
        <f t="shared" si="101"/>
        <v>0</v>
      </c>
      <c r="F122" s="25">
        <f t="shared" si="60"/>
        <v>0</v>
      </c>
      <c r="G122" s="25">
        <f t="shared" si="61"/>
        <v>0</v>
      </c>
      <c r="H122" s="25"/>
      <c r="I122" s="25" t="e">
        <f t="shared" si="62"/>
        <v>#DIV/0!</v>
      </c>
      <c r="J122" s="25"/>
      <c r="L122" s="21"/>
    </row>
    <row r="123" spans="1:12" s="20" customFormat="1" ht="46.8">
      <c r="A123" s="45" t="s">
        <v>306</v>
      </c>
      <c r="B123" s="45" t="s">
        <v>305</v>
      </c>
      <c r="C123" s="25">
        <f>2931838</f>
        <v>2931838</v>
      </c>
      <c r="D123" s="25">
        <v>677440.03</v>
      </c>
      <c r="E123" s="25">
        <v>677440</v>
      </c>
      <c r="F123" s="25">
        <f t="shared" si="60"/>
        <v>0.03</v>
      </c>
      <c r="G123" s="25">
        <f t="shared" si="61"/>
        <v>23.11</v>
      </c>
      <c r="H123" s="25"/>
      <c r="I123" s="25">
        <f t="shared" si="62"/>
        <v>100</v>
      </c>
      <c r="J123" s="25"/>
      <c r="L123" s="21"/>
    </row>
    <row r="124" spans="1:12" s="20" customFormat="1" ht="31.2">
      <c r="A124" s="15" t="s">
        <v>88</v>
      </c>
      <c r="B124" s="18" t="s">
        <v>113</v>
      </c>
      <c r="C124" s="19">
        <f>C125+C126</f>
        <v>1680085.97</v>
      </c>
      <c r="D124" s="19">
        <f t="shared" ref="D124:E124" si="102">D125+D126</f>
        <v>3021414.97</v>
      </c>
      <c r="E124" s="19">
        <f t="shared" si="102"/>
        <v>3021414.94</v>
      </c>
      <c r="F124" s="19">
        <f t="shared" si="60"/>
        <v>0.03</v>
      </c>
      <c r="G124" s="19">
        <f t="shared" si="61"/>
        <v>179.84</v>
      </c>
      <c r="H124" s="19"/>
      <c r="I124" s="19">
        <f t="shared" si="62"/>
        <v>100</v>
      </c>
      <c r="J124" s="19"/>
      <c r="L124" s="21"/>
    </row>
    <row r="125" spans="1:12" s="20" customFormat="1" ht="46.8">
      <c r="A125" s="34" t="s">
        <v>89</v>
      </c>
      <c r="B125" s="37" t="s">
        <v>114</v>
      </c>
      <c r="C125" s="25">
        <f>1596081.67</f>
        <v>1596081.67</v>
      </c>
      <c r="D125" s="25">
        <f t="shared" ref="D125:E125" si="103">1596081.67+90775.62+1243915.2</f>
        <v>2930772.49</v>
      </c>
      <c r="E125" s="25">
        <f t="shared" si="103"/>
        <v>2930772.49</v>
      </c>
      <c r="F125" s="25">
        <f t="shared" si="60"/>
        <v>0</v>
      </c>
      <c r="G125" s="25">
        <f t="shared" si="61"/>
        <v>183.62</v>
      </c>
      <c r="H125" s="25"/>
      <c r="I125" s="25">
        <f t="shared" si="62"/>
        <v>100</v>
      </c>
      <c r="J125" s="25"/>
      <c r="L125" s="21"/>
    </row>
    <row r="126" spans="1:12" s="20" customFormat="1" ht="46.8">
      <c r="A126" s="34" t="s">
        <v>92</v>
      </c>
      <c r="B126" s="37" t="s">
        <v>114</v>
      </c>
      <c r="C126" s="25">
        <f>84004.3</f>
        <v>84004.3</v>
      </c>
      <c r="D126" s="25">
        <v>90642.48</v>
      </c>
      <c r="E126" s="25">
        <f t="shared" ref="E126" si="104">84004.3-34640.95+115103+40000-113823.9</f>
        <v>90642.45</v>
      </c>
      <c r="F126" s="25">
        <f t="shared" si="60"/>
        <v>0.03</v>
      </c>
      <c r="G126" s="25">
        <f t="shared" si="61"/>
        <v>107.9</v>
      </c>
      <c r="H126" s="25"/>
      <c r="I126" s="25">
        <f t="shared" si="62"/>
        <v>100</v>
      </c>
      <c r="J126" s="25"/>
      <c r="L126" s="21"/>
    </row>
    <row r="127" spans="1:12" s="20" customFormat="1" ht="46.8">
      <c r="A127" s="33" t="s">
        <v>308</v>
      </c>
      <c r="B127" s="44" t="s">
        <v>307</v>
      </c>
      <c r="C127" s="19">
        <f>C128</f>
        <v>430000</v>
      </c>
      <c r="D127" s="19">
        <f t="shared" ref="D127:E127" si="105">D128</f>
        <v>4476828</v>
      </c>
      <c r="E127" s="19">
        <f t="shared" si="105"/>
        <v>3411390.3</v>
      </c>
      <c r="F127" s="19">
        <f t="shared" si="60"/>
        <v>1065437.7</v>
      </c>
      <c r="G127" s="19">
        <f t="shared" si="61"/>
        <v>793.35</v>
      </c>
      <c r="H127" s="19"/>
      <c r="I127" s="19">
        <f t="shared" si="62"/>
        <v>76.2</v>
      </c>
      <c r="J127" s="19"/>
      <c r="L127" s="21"/>
    </row>
    <row r="128" spans="1:12" s="20" customFormat="1" ht="31.2">
      <c r="A128" s="32" t="s">
        <v>309</v>
      </c>
      <c r="B128" s="24" t="s">
        <v>310</v>
      </c>
      <c r="C128" s="25">
        <f>430000</f>
        <v>430000</v>
      </c>
      <c r="D128" s="25">
        <f t="shared" ref="D128" si="106">430000+3068048+978780</f>
        <v>4476828</v>
      </c>
      <c r="E128" s="25">
        <v>3411390.3</v>
      </c>
      <c r="F128" s="25">
        <f t="shared" si="60"/>
        <v>1065437.7</v>
      </c>
      <c r="G128" s="25">
        <f t="shared" si="61"/>
        <v>793.35</v>
      </c>
      <c r="H128" s="25"/>
      <c r="I128" s="25">
        <f t="shared" si="62"/>
        <v>76.2</v>
      </c>
      <c r="J128" s="25"/>
      <c r="L128" s="21"/>
    </row>
    <row r="129" spans="1:12" s="20" customFormat="1" ht="31.2">
      <c r="A129" s="33" t="s">
        <v>295</v>
      </c>
      <c r="B129" s="44" t="s">
        <v>296</v>
      </c>
      <c r="C129" s="19">
        <f>C130</f>
        <v>3204000</v>
      </c>
      <c r="D129" s="19">
        <f t="shared" ref="D129:E130" si="107">D130</f>
        <v>4139168.53</v>
      </c>
      <c r="E129" s="19">
        <f t="shared" si="107"/>
        <v>3769314.68</v>
      </c>
      <c r="F129" s="19">
        <f t="shared" si="60"/>
        <v>369853.85</v>
      </c>
      <c r="G129" s="19">
        <f t="shared" si="61"/>
        <v>117.64</v>
      </c>
      <c r="H129" s="19"/>
      <c r="I129" s="19">
        <f t="shared" si="62"/>
        <v>91.06</v>
      </c>
      <c r="J129" s="19"/>
      <c r="L129" s="21"/>
    </row>
    <row r="130" spans="1:12" s="20" customFormat="1" ht="46.8">
      <c r="A130" s="33" t="s">
        <v>299</v>
      </c>
      <c r="B130" s="44" t="s">
        <v>297</v>
      </c>
      <c r="C130" s="19">
        <f>C131</f>
        <v>3204000</v>
      </c>
      <c r="D130" s="19">
        <f t="shared" si="107"/>
        <v>4139168.53</v>
      </c>
      <c r="E130" s="19">
        <f t="shared" si="107"/>
        <v>3769314.68</v>
      </c>
      <c r="F130" s="19">
        <f t="shared" si="60"/>
        <v>369853.85</v>
      </c>
      <c r="G130" s="19">
        <f t="shared" si="61"/>
        <v>117.64</v>
      </c>
      <c r="H130" s="19"/>
      <c r="I130" s="19">
        <f t="shared" si="62"/>
        <v>91.06</v>
      </c>
      <c r="J130" s="19"/>
      <c r="L130" s="21"/>
    </row>
    <row r="131" spans="1:12" s="20" customFormat="1" ht="31.2">
      <c r="A131" s="49" t="s">
        <v>46</v>
      </c>
      <c r="B131" s="24" t="s">
        <v>298</v>
      </c>
      <c r="C131" s="25">
        <f>3204000</f>
        <v>3204000</v>
      </c>
      <c r="D131" s="25">
        <f t="shared" ref="D131" si="108">3204000+300000+635168.53</f>
        <v>4139168.53</v>
      </c>
      <c r="E131" s="25">
        <v>3769314.68</v>
      </c>
      <c r="F131" s="25">
        <f t="shared" si="60"/>
        <v>369853.85</v>
      </c>
      <c r="G131" s="25">
        <f t="shared" si="61"/>
        <v>117.64</v>
      </c>
      <c r="H131" s="25"/>
      <c r="I131" s="25">
        <f t="shared" si="62"/>
        <v>91.06</v>
      </c>
      <c r="J131" s="25"/>
      <c r="L131" s="21"/>
    </row>
    <row r="132" spans="1:12" s="20" customFormat="1" ht="62.4">
      <c r="A132" s="26" t="s">
        <v>226</v>
      </c>
      <c r="B132" s="18" t="s">
        <v>51</v>
      </c>
      <c r="C132" s="29">
        <f>C133</f>
        <v>1500000</v>
      </c>
      <c r="D132" s="29">
        <f t="shared" ref="D132:E133" si="109">D133</f>
        <v>10689636.49</v>
      </c>
      <c r="E132" s="29">
        <f t="shared" si="109"/>
        <v>10259970.300000001</v>
      </c>
      <c r="F132" s="29">
        <f t="shared" si="60"/>
        <v>429666.19</v>
      </c>
      <c r="G132" s="29">
        <f t="shared" si="61"/>
        <v>684</v>
      </c>
      <c r="H132" s="29"/>
      <c r="I132" s="29">
        <f t="shared" si="62"/>
        <v>95.98</v>
      </c>
      <c r="J132" s="29"/>
      <c r="L132" s="21"/>
    </row>
    <row r="133" spans="1:12" s="20" customFormat="1" ht="46.8">
      <c r="A133" s="26" t="s">
        <v>52</v>
      </c>
      <c r="B133" s="18" t="s">
        <v>53</v>
      </c>
      <c r="C133" s="29">
        <f>C134</f>
        <v>1500000</v>
      </c>
      <c r="D133" s="29">
        <f t="shared" si="109"/>
        <v>10689636.49</v>
      </c>
      <c r="E133" s="29">
        <f t="shared" si="109"/>
        <v>10259970.300000001</v>
      </c>
      <c r="F133" s="29">
        <f t="shared" si="60"/>
        <v>429666.19</v>
      </c>
      <c r="G133" s="29">
        <f t="shared" si="61"/>
        <v>684</v>
      </c>
      <c r="H133" s="29"/>
      <c r="I133" s="29">
        <f t="shared" si="62"/>
        <v>95.98</v>
      </c>
      <c r="J133" s="29"/>
      <c r="L133" s="21"/>
    </row>
    <row r="134" spans="1:12" s="20" customFormat="1" ht="46.8">
      <c r="A134" s="18" t="s">
        <v>352</v>
      </c>
      <c r="B134" s="18" t="s">
        <v>351</v>
      </c>
      <c r="C134" s="29">
        <f>C135+C136+C137</f>
        <v>1500000</v>
      </c>
      <c r="D134" s="29">
        <f t="shared" ref="D134:E134" si="110">D135+D136+D137</f>
        <v>10689636.49</v>
      </c>
      <c r="E134" s="29">
        <f t="shared" si="110"/>
        <v>10259970.300000001</v>
      </c>
      <c r="F134" s="29">
        <f t="shared" si="60"/>
        <v>429666.19</v>
      </c>
      <c r="G134" s="29">
        <f t="shared" si="61"/>
        <v>684</v>
      </c>
      <c r="H134" s="29"/>
      <c r="I134" s="29">
        <f t="shared" si="62"/>
        <v>95.98</v>
      </c>
      <c r="J134" s="29"/>
      <c r="L134" s="21"/>
    </row>
    <row r="135" spans="1:12" s="20" customFormat="1" ht="46.8">
      <c r="A135" s="24" t="s">
        <v>353</v>
      </c>
      <c r="B135" s="24" t="s">
        <v>225</v>
      </c>
      <c r="C135" s="38">
        <f>500000</f>
        <v>500000</v>
      </c>
      <c r="D135" s="38">
        <f t="shared" ref="D135" si="111">500000+999810-900000</f>
        <v>599810</v>
      </c>
      <c r="E135" s="38">
        <v>457684</v>
      </c>
      <c r="F135" s="38">
        <f t="shared" si="60"/>
        <v>142126</v>
      </c>
      <c r="G135" s="38">
        <f t="shared" si="61"/>
        <v>91.54</v>
      </c>
      <c r="H135" s="38"/>
      <c r="I135" s="38">
        <f t="shared" si="62"/>
        <v>76.3</v>
      </c>
      <c r="J135" s="38"/>
      <c r="L135" s="21"/>
    </row>
    <row r="136" spans="1:12" s="20" customFormat="1" ht="31.2">
      <c r="A136" s="24" t="s">
        <v>267</v>
      </c>
      <c r="B136" s="24" t="s">
        <v>372</v>
      </c>
      <c r="C136" s="38">
        <f>500000</f>
        <v>500000</v>
      </c>
      <c r="D136" s="38">
        <f t="shared" ref="D136" si="112">500000+2222291.49+5747208+500000+1020327+600000-400000-100000</f>
        <v>10089826.49</v>
      </c>
      <c r="E136" s="38">
        <v>9802286.3000000007</v>
      </c>
      <c r="F136" s="38">
        <f t="shared" si="60"/>
        <v>287540.19</v>
      </c>
      <c r="G136" s="38">
        <f t="shared" si="61"/>
        <v>1960.46</v>
      </c>
      <c r="H136" s="38"/>
      <c r="I136" s="38">
        <f t="shared" si="62"/>
        <v>97.15</v>
      </c>
      <c r="J136" s="38"/>
      <c r="L136" s="21"/>
    </row>
    <row r="137" spans="1:12" s="20" customFormat="1" ht="46.8">
      <c r="A137" s="24" t="s">
        <v>378</v>
      </c>
      <c r="B137" s="24" t="s">
        <v>377</v>
      </c>
      <c r="C137" s="38">
        <f>500000</f>
        <v>500000</v>
      </c>
      <c r="D137" s="38">
        <f t="shared" ref="D137:E137" si="113">500000-500000</f>
        <v>0</v>
      </c>
      <c r="E137" s="38">
        <f t="shared" si="113"/>
        <v>0</v>
      </c>
      <c r="F137" s="38">
        <f t="shared" si="60"/>
        <v>0</v>
      </c>
      <c r="G137" s="38">
        <f t="shared" si="61"/>
        <v>0</v>
      </c>
      <c r="H137" s="38"/>
      <c r="I137" s="38" t="e">
        <f t="shared" si="62"/>
        <v>#DIV/0!</v>
      </c>
      <c r="J137" s="38"/>
      <c r="L137" s="21"/>
    </row>
    <row r="138" spans="1:12" s="20" customFormat="1" ht="46.8">
      <c r="A138" s="27" t="s">
        <v>253</v>
      </c>
      <c r="B138" s="22" t="s">
        <v>8</v>
      </c>
      <c r="C138" s="29">
        <f>C139</f>
        <v>18300299.199999999</v>
      </c>
      <c r="D138" s="29">
        <f t="shared" ref="D138:E138" si="114">D139</f>
        <v>17518906.280000001</v>
      </c>
      <c r="E138" s="29">
        <f t="shared" si="114"/>
        <v>17432728.280000001</v>
      </c>
      <c r="F138" s="29">
        <f t="shared" ref="F138:F201" si="115">$D138-$E138</f>
        <v>86178</v>
      </c>
      <c r="G138" s="29">
        <f t="shared" ref="G138:G201" si="116">$E138/$C138*100</f>
        <v>95.26</v>
      </c>
      <c r="H138" s="29"/>
      <c r="I138" s="29">
        <f t="shared" ref="I138:I201" si="117">$E138/$D138*100</f>
        <v>99.51</v>
      </c>
      <c r="J138" s="29"/>
      <c r="L138" s="21"/>
    </row>
    <row r="139" spans="1:12" s="20" customFormat="1" ht="31.2">
      <c r="A139" s="27" t="s">
        <v>254</v>
      </c>
      <c r="B139" s="22" t="s">
        <v>9</v>
      </c>
      <c r="C139" s="29">
        <f>C140+C146</f>
        <v>18300299.199999999</v>
      </c>
      <c r="D139" s="29">
        <f t="shared" ref="D139:E139" si="118">D140+D146</f>
        <v>17518906.280000001</v>
      </c>
      <c r="E139" s="29">
        <f t="shared" si="118"/>
        <v>17432728.280000001</v>
      </c>
      <c r="F139" s="29">
        <f t="shared" si="115"/>
        <v>86178</v>
      </c>
      <c r="G139" s="29">
        <f t="shared" si="116"/>
        <v>95.26</v>
      </c>
      <c r="H139" s="29"/>
      <c r="I139" s="29">
        <f t="shared" si="117"/>
        <v>99.51</v>
      </c>
      <c r="J139" s="29"/>
      <c r="L139" s="21"/>
    </row>
    <row r="140" spans="1:12" s="20" customFormat="1" ht="46.8">
      <c r="A140" s="27" t="s">
        <v>424</v>
      </c>
      <c r="B140" s="22" t="s">
        <v>258</v>
      </c>
      <c r="C140" s="29">
        <f>C141+C142+C143+C144+C145</f>
        <v>18300299.199999999</v>
      </c>
      <c r="D140" s="29">
        <f t="shared" ref="D140:E140" si="119">D141+D142+D143+D144+D145</f>
        <v>17518906.280000001</v>
      </c>
      <c r="E140" s="29">
        <f t="shared" si="119"/>
        <v>17432728.280000001</v>
      </c>
      <c r="F140" s="29">
        <f t="shared" si="115"/>
        <v>86178</v>
      </c>
      <c r="G140" s="29">
        <f t="shared" si="116"/>
        <v>95.26</v>
      </c>
      <c r="H140" s="29"/>
      <c r="I140" s="29">
        <f t="shared" si="117"/>
        <v>99.51</v>
      </c>
      <c r="J140" s="29"/>
      <c r="L140" s="21"/>
    </row>
    <row r="141" spans="1:12" s="20" customFormat="1" ht="78">
      <c r="A141" s="30" t="s">
        <v>40</v>
      </c>
      <c r="B141" s="39" t="s">
        <v>257</v>
      </c>
      <c r="C141" s="25">
        <v>2690000</v>
      </c>
      <c r="D141" s="25">
        <v>2690000</v>
      </c>
      <c r="E141" s="25">
        <v>2666865</v>
      </c>
      <c r="F141" s="25">
        <f t="shared" si="115"/>
        <v>23135</v>
      </c>
      <c r="G141" s="25">
        <f t="shared" si="116"/>
        <v>99.14</v>
      </c>
      <c r="H141" s="25"/>
      <c r="I141" s="25">
        <f t="shared" si="117"/>
        <v>99.14</v>
      </c>
      <c r="J141" s="25"/>
      <c r="L141" s="21"/>
    </row>
    <row r="142" spans="1:12" s="3" customFormat="1" ht="31.2">
      <c r="A142" s="30" t="s">
        <v>41</v>
      </c>
      <c r="B142" s="39" t="s">
        <v>256</v>
      </c>
      <c r="C142" s="25">
        <v>1759968</v>
      </c>
      <c r="D142" s="25">
        <v>1759968</v>
      </c>
      <c r="E142" s="25">
        <v>1696925</v>
      </c>
      <c r="F142" s="25">
        <f t="shared" si="115"/>
        <v>63043</v>
      </c>
      <c r="G142" s="25">
        <f t="shared" si="116"/>
        <v>96.42</v>
      </c>
      <c r="H142" s="25"/>
      <c r="I142" s="25">
        <f t="shared" si="117"/>
        <v>96.42</v>
      </c>
      <c r="J142" s="25"/>
      <c r="L142" s="21"/>
    </row>
    <row r="143" spans="1:12" s="3" customFormat="1" ht="46.8">
      <c r="A143" s="24" t="s">
        <v>47</v>
      </c>
      <c r="B143" s="39" t="s">
        <v>259</v>
      </c>
      <c r="C143" s="25">
        <f>13494938.28</f>
        <v>13494938.279999999</v>
      </c>
      <c r="D143" s="25">
        <f t="shared" ref="D143:E143" si="120">13494938.28-426000</f>
        <v>13068938.279999999</v>
      </c>
      <c r="E143" s="25">
        <f t="shared" si="120"/>
        <v>13068938.279999999</v>
      </c>
      <c r="F143" s="25">
        <f t="shared" si="115"/>
        <v>0</v>
      </c>
      <c r="G143" s="25">
        <f t="shared" si="116"/>
        <v>96.84</v>
      </c>
      <c r="H143" s="25"/>
      <c r="I143" s="25">
        <f t="shared" si="117"/>
        <v>100</v>
      </c>
      <c r="J143" s="25"/>
      <c r="L143" s="21"/>
    </row>
    <row r="144" spans="1:12" s="20" customFormat="1" ht="46.8">
      <c r="A144" s="34" t="s">
        <v>123</v>
      </c>
      <c r="B144" s="42" t="s">
        <v>255</v>
      </c>
      <c r="C144" s="38">
        <f>337623.27</f>
        <v>337623.27</v>
      </c>
      <c r="D144" s="38">
        <f t="shared" ref="D144:E144" si="121">337623.27-337623.27</f>
        <v>0</v>
      </c>
      <c r="E144" s="38">
        <f t="shared" si="121"/>
        <v>0</v>
      </c>
      <c r="F144" s="38">
        <f t="shared" si="115"/>
        <v>0</v>
      </c>
      <c r="G144" s="38">
        <f t="shared" si="116"/>
        <v>0</v>
      </c>
      <c r="H144" s="38"/>
      <c r="I144" s="38" t="e">
        <f t="shared" si="117"/>
        <v>#DIV/0!</v>
      </c>
      <c r="J144" s="38"/>
      <c r="L144" s="21"/>
    </row>
    <row r="145" spans="1:12" s="20" customFormat="1" ht="31.2">
      <c r="A145" s="34" t="s">
        <v>136</v>
      </c>
      <c r="B145" s="42" t="s">
        <v>255</v>
      </c>
      <c r="C145" s="38">
        <f>17769.65</f>
        <v>17769.650000000001</v>
      </c>
      <c r="D145" s="38">
        <f t="shared" ref="D145:E145" si="122">17769.65-17769.65</f>
        <v>0</v>
      </c>
      <c r="E145" s="38">
        <f t="shared" si="122"/>
        <v>0</v>
      </c>
      <c r="F145" s="38">
        <f t="shared" si="115"/>
        <v>0</v>
      </c>
      <c r="G145" s="38">
        <f t="shared" si="116"/>
        <v>0</v>
      </c>
      <c r="H145" s="38"/>
      <c r="I145" s="38" t="e">
        <f t="shared" si="117"/>
        <v>#DIV/0!</v>
      </c>
      <c r="J145" s="38"/>
      <c r="L145" s="21"/>
    </row>
    <row r="146" spans="1:12" s="20" customFormat="1" ht="15.6">
      <c r="A146" s="27" t="s">
        <v>425</v>
      </c>
      <c r="B146" s="22" t="s">
        <v>426</v>
      </c>
      <c r="C146" s="29">
        <f>C147</f>
        <v>0</v>
      </c>
      <c r="D146" s="29">
        <f t="shared" ref="D146:E146" si="123">D147</f>
        <v>0</v>
      </c>
      <c r="E146" s="29">
        <f t="shared" si="123"/>
        <v>0</v>
      </c>
      <c r="F146" s="29">
        <f t="shared" si="115"/>
        <v>0</v>
      </c>
      <c r="G146" s="29" t="e">
        <f t="shared" si="116"/>
        <v>#DIV/0!</v>
      </c>
      <c r="H146" s="29"/>
      <c r="I146" s="29" t="e">
        <f t="shared" si="117"/>
        <v>#DIV/0!</v>
      </c>
      <c r="J146" s="29"/>
      <c r="L146" s="21"/>
    </row>
    <row r="147" spans="1:12" s="20" customFormat="1" ht="97.2" customHeight="1">
      <c r="A147" s="30" t="s">
        <v>428</v>
      </c>
      <c r="B147" s="39" t="s">
        <v>427</v>
      </c>
      <c r="C147" s="25">
        <v>0</v>
      </c>
      <c r="D147" s="25">
        <v>0</v>
      </c>
      <c r="E147" s="25">
        <v>0</v>
      </c>
      <c r="F147" s="25">
        <f t="shared" si="115"/>
        <v>0</v>
      </c>
      <c r="G147" s="25" t="e">
        <f t="shared" si="116"/>
        <v>#DIV/0!</v>
      </c>
      <c r="H147" s="25"/>
      <c r="I147" s="25" t="e">
        <f t="shared" si="117"/>
        <v>#DIV/0!</v>
      </c>
      <c r="J147" s="25"/>
      <c r="L147" s="21"/>
    </row>
    <row r="148" spans="1:12" s="20" customFormat="1" ht="46.8">
      <c r="A148" s="27" t="s">
        <v>260</v>
      </c>
      <c r="B148" s="50" t="s">
        <v>54</v>
      </c>
      <c r="C148" s="29">
        <f>C149+C152</f>
        <v>5717979</v>
      </c>
      <c r="D148" s="29">
        <f t="shared" ref="D148:E148" si="124">D149+D152</f>
        <v>9697648.5399999991</v>
      </c>
      <c r="E148" s="29">
        <f t="shared" si="124"/>
        <v>9670648.5399999991</v>
      </c>
      <c r="F148" s="29">
        <f t="shared" si="115"/>
        <v>27000</v>
      </c>
      <c r="G148" s="29">
        <f t="shared" si="116"/>
        <v>169.13</v>
      </c>
      <c r="H148" s="29"/>
      <c r="I148" s="29">
        <f t="shared" si="117"/>
        <v>99.72</v>
      </c>
      <c r="J148" s="29"/>
      <c r="L148" s="21"/>
    </row>
    <row r="149" spans="1:12" s="20" customFormat="1" ht="31.2">
      <c r="A149" s="27" t="s">
        <v>268</v>
      </c>
      <c r="B149" s="18" t="s">
        <v>55</v>
      </c>
      <c r="C149" s="51">
        <f>C150</f>
        <v>914479</v>
      </c>
      <c r="D149" s="51">
        <f t="shared" ref="D149:E150" si="125">D150</f>
        <v>2155918.4300000002</v>
      </c>
      <c r="E149" s="51">
        <f t="shared" si="125"/>
        <v>2128918.4300000002</v>
      </c>
      <c r="F149" s="51">
        <f t="shared" si="115"/>
        <v>27000</v>
      </c>
      <c r="G149" s="51">
        <f t="shared" si="116"/>
        <v>232.8</v>
      </c>
      <c r="H149" s="51"/>
      <c r="I149" s="51">
        <f t="shared" si="117"/>
        <v>98.75</v>
      </c>
      <c r="J149" s="51"/>
      <c r="L149" s="21"/>
    </row>
    <row r="150" spans="1:12" s="20" customFormat="1" ht="31.2">
      <c r="A150" s="48" t="s">
        <v>269</v>
      </c>
      <c r="B150" s="18" t="s">
        <v>270</v>
      </c>
      <c r="C150" s="19">
        <f>C151</f>
        <v>914479</v>
      </c>
      <c r="D150" s="19">
        <f t="shared" si="125"/>
        <v>2155918.4300000002</v>
      </c>
      <c r="E150" s="19">
        <f t="shared" si="125"/>
        <v>2128918.4300000002</v>
      </c>
      <c r="F150" s="19">
        <f t="shared" si="115"/>
        <v>27000</v>
      </c>
      <c r="G150" s="19">
        <f t="shared" si="116"/>
        <v>232.8</v>
      </c>
      <c r="H150" s="19"/>
      <c r="I150" s="19">
        <f t="shared" si="117"/>
        <v>98.75</v>
      </c>
      <c r="J150" s="19"/>
      <c r="L150" s="21"/>
    </row>
    <row r="151" spans="1:12" s="3" customFormat="1" ht="15.6">
      <c r="A151" s="23" t="s">
        <v>271</v>
      </c>
      <c r="B151" s="24" t="s">
        <v>272</v>
      </c>
      <c r="C151" s="25">
        <f>914479</f>
        <v>914479</v>
      </c>
      <c r="D151" s="25">
        <f t="shared" ref="D151" si="126">914479+1241500-60.57</f>
        <v>2155918.4300000002</v>
      </c>
      <c r="E151" s="25">
        <v>2128918.4300000002</v>
      </c>
      <c r="F151" s="25">
        <f t="shared" si="115"/>
        <v>27000</v>
      </c>
      <c r="G151" s="25">
        <f t="shared" si="116"/>
        <v>232.8</v>
      </c>
      <c r="H151" s="25"/>
      <c r="I151" s="25">
        <f t="shared" si="117"/>
        <v>98.75</v>
      </c>
      <c r="J151" s="25"/>
      <c r="L151" s="21"/>
    </row>
    <row r="152" spans="1:12" s="20" customFormat="1" ht="15.6">
      <c r="A152" s="48" t="s">
        <v>261</v>
      </c>
      <c r="B152" s="18" t="s">
        <v>56</v>
      </c>
      <c r="C152" s="19">
        <f>C153</f>
        <v>4803500</v>
      </c>
      <c r="D152" s="19">
        <f t="shared" ref="D152:E152" si="127">D153</f>
        <v>7541730.1100000003</v>
      </c>
      <c r="E152" s="19">
        <f t="shared" si="127"/>
        <v>7541730.1100000003</v>
      </c>
      <c r="F152" s="19">
        <f t="shared" si="115"/>
        <v>0</v>
      </c>
      <c r="G152" s="19">
        <f t="shared" si="116"/>
        <v>157</v>
      </c>
      <c r="H152" s="19"/>
      <c r="I152" s="19">
        <f t="shared" si="117"/>
        <v>100</v>
      </c>
      <c r="J152" s="19"/>
      <c r="L152" s="21"/>
    </row>
    <row r="153" spans="1:12" s="20" customFormat="1" ht="31.2">
      <c r="A153" s="48" t="s">
        <v>263</v>
      </c>
      <c r="B153" s="18" t="s">
        <v>262</v>
      </c>
      <c r="C153" s="19">
        <f>C154+C155+C156</f>
        <v>4803500</v>
      </c>
      <c r="D153" s="19">
        <f t="shared" ref="D153:E153" si="128">D154+D155+D156</f>
        <v>7541730.1100000003</v>
      </c>
      <c r="E153" s="19">
        <f t="shared" si="128"/>
        <v>7541730.1100000003</v>
      </c>
      <c r="F153" s="19">
        <f t="shared" si="115"/>
        <v>0</v>
      </c>
      <c r="G153" s="19">
        <f t="shared" si="116"/>
        <v>157</v>
      </c>
      <c r="H153" s="19"/>
      <c r="I153" s="19">
        <f t="shared" si="117"/>
        <v>100</v>
      </c>
      <c r="J153" s="19"/>
      <c r="L153" s="21"/>
    </row>
    <row r="154" spans="1:12" s="3" customFormat="1" ht="62.4">
      <c r="A154" s="23" t="s">
        <v>276</v>
      </c>
      <c r="B154" s="24" t="s">
        <v>275</v>
      </c>
      <c r="C154" s="25">
        <f>3500</f>
        <v>3500</v>
      </c>
      <c r="D154" s="25">
        <f t="shared" ref="D154:E154" si="129">3500-3500</f>
        <v>0</v>
      </c>
      <c r="E154" s="25">
        <f t="shared" si="129"/>
        <v>0</v>
      </c>
      <c r="F154" s="25">
        <f t="shared" si="115"/>
        <v>0</v>
      </c>
      <c r="G154" s="25">
        <f t="shared" si="116"/>
        <v>0</v>
      </c>
      <c r="H154" s="25"/>
      <c r="I154" s="25" t="e">
        <f t="shared" si="117"/>
        <v>#DIV/0!</v>
      </c>
      <c r="J154" s="25"/>
      <c r="L154" s="21"/>
    </row>
    <row r="155" spans="1:12" s="3" customFormat="1" ht="46.8">
      <c r="A155" s="23" t="s">
        <v>273</v>
      </c>
      <c r="B155" s="24" t="s">
        <v>274</v>
      </c>
      <c r="C155" s="25">
        <f>100000</f>
        <v>100000</v>
      </c>
      <c r="D155" s="25">
        <f t="shared" ref="D155:E155" si="130">100000-83461</f>
        <v>16539</v>
      </c>
      <c r="E155" s="25">
        <f t="shared" si="130"/>
        <v>16539</v>
      </c>
      <c r="F155" s="25">
        <f t="shared" si="115"/>
        <v>0</v>
      </c>
      <c r="G155" s="25">
        <f t="shared" si="116"/>
        <v>16.54</v>
      </c>
      <c r="H155" s="25"/>
      <c r="I155" s="25">
        <f t="shared" si="117"/>
        <v>100</v>
      </c>
      <c r="J155" s="25"/>
      <c r="L155" s="21"/>
    </row>
    <row r="156" spans="1:12" s="3" customFormat="1" ht="46.8">
      <c r="A156" s="24" t="s">
        <v>264</v>
      </c>
      <c r="B156" s="24" t="s">
        <v>265</v>
      </c>
      <c r="C156" s="25">
        <f>4700000</f>
        <v>4700000</v>
      </c>
      <c r="D156" s="25">
        <f t="shared" ref="D156:E156" si="131">4700000+850573.36+1974617.75</f>
        <v>7525191.1100000003</v>
      </c>
      <c r="E156" s="25">
        <f t="shared" si="131"/>
        <v>7525191.1100000003</v>
      </c>
      <c r="F156" s="25">
        <f t="shared" si="115"/>
        <v>0</v>
      </c>
      <c r="G156" s="25">
        <f t="shared" si="116"/>
        <v>160.11000000000001</v>
      </c>
      <c r="H156" s="25"/>
      <c r="I156" s="25">
        <f t="shared" si="117"/>
        <v>100</v>
      </c>
      <c r="J156" s="25"/>
      <c r="L156" s="21"/>
    </row>
    <row r="157" spans="1:12" s="20" customFormat="1" ht="46.8">
      <c r="A157" s="27" t="s">
        <v>227</v>
      </c>
      <c r="B157" s="22" t="s">
        <v>60</v>
      </c>
      <c r="C157" s="29">
        <f>C158+C163</f>
        <v>159305926.68000001</v>
      </c>
      <c r="D157" s="29">
        <f t="shared" ref="D157:E157" si="132">D158+D163</f>
        <v>163045594.97</v>
      </c>
      <c r="E157" s="29">
        <f t="shared" si="132"/>
        <v>156522398.28999999</v>
      </c>
      <c r="F157" s="29">
        <f t="shared" si="115"/>
        <v>6523196.6799999997</v>
      </c>
      <c r="G157" s="29">
        <f t="shared" si="116"/>
        <v>98.25</v>
      </c>
      <c r="H157" s="29"/>
      <c r="I157" s="29">
        <f t="shared" si="117"/>
        <v>96</v>
      </c>
      <c r="J157" s="29"/>
      <c r="L157" s="21"/>
    </row>
    <row r="158" spans="1:12" s="20" customFormat="1" ht="31.2">
      <c r="A158" s="27" t="s">
        <v>228</v>
      </c>
      <c r="B158" s="18" t="s">
        <v>61</v>
      </c>
      <c r="C158" s="29">
        <f>C159</f>
        <v>9086926.6799999997</v>
      </c>
      <c r="D158" s="29">
        <f t="shared" ref="D158:E158" si="133">D159</f>
        <v>7711261.6799999997</v>
      </c>
      <c r="E158" s="29">
        <f t="shared" si="133"/>
        <v>7711261.6799999997</v>
      </c>
      <c r="F158" s="29">
        <f t="shared" si="115"/>
        <v>0</v>
      </c>
      <c r="G158" s="29">
        <f t="shared" si="116"/>
        <v>84.86</v>
      </c>
      <c r="H158" s="29"/>
      <c r="I158" s="29">
        <f t="shared" si="117"/>
        <v>100</v>
      </c>
      <c r="J158" s="29"/>
      <c r="L158" s="21"/>
    </row>
    <row r="159" spans="1:12" s="20" customFormat="1" ht="46.8">
      <c r="A159" s="27" t="s">
        <v>229</v>
      </c>
      <c r="B159" s="18" t="s">
        <v>173</v>
      </c>
      <c r="C159" s="29">
        <f>C160+C161+C162</f>
        <v>9086926.6799999997</v>
      </c>
      <c r="D159" s="29">
        <f t="shared" ref="D159:E159" si="134">D160+D161+D162</f>
        <v>7711261.6799999997</v>
      </c>
      <c r="E159" s="29">
        <f t="shared" si="134"/>
        <v>7711261.6799999997</v>
      </c>
      <c r="F159" s="29">
        <f t="shared" si="115"/>
        <v>0</v>
      </c>
      <c r="G159" s="29">
        <f t="shared" si="116"/>
        <v>84.86</v>
      </c>
      <c r="H159" s="29"/>
      <c r="I159" s="29">
        <f t="shared" si="117"/>
        <v>100</v>
      </c>
      <c r="J159" s="29"/>
      <c r="L159" s="21"/>
    </row>
    <row r="160" spans="1:12" s="20" customFormat="1" ht="78">
      <c r="A160" s="30" t="s">
        <v>172</v>
      </c>
      <c r="B160" s="24" t="s">
        <v>171</v>
      </c>
      <c r="C160" s="25">
        <f>3983473.92</f>
        <v>3983473.92</v>
      </c>
      <c r="D160" s="25">
        <f t="shared" ref="D160:E160" si="135">3983473.92+340000+3313396.76-3313396.76-212212.24</f>
        <v>4111261.68</v>
      </c>
      <c r="E160" s="25">
        <f t="shared" si="135"/>
        <v>4111261.68</v>
      </c>
      <c r="F160" s="25">
        <f t="shared" si="115"/>
        <v>0</v>
      </c>
      <c r="G160" s="25">
        <f t="shared" si="116"/>
        <v>103.21</v>
      </c>
      <c r="H160" s="25"/>
      <c r="I160" s="25">
        <f t="shared" si="117"/>
        <v>100</v>
      </c>
      <c r="J160" s="25"/>
      <c r="L160" s="21"/>
    </row>
    <row r="161" spans="1:12" s="20" customFormat="1" ht="62.4">
      <c r="A161" s="30" t="s">
        <v>137</v>
      </c>
      <c r="B161" s="24" t="s">
        <v>138</v>
      </c>
      <c r="C161" s="25">
        <f>4848280.12</f>
        <v>4848280.12</v>
      </c>
      <c r="D161" s="25">
        <f t="shared" ref="D161:E161" si="136">4848280.12-1968280.12</f>
        <v>2880000</v>
      </c>
      <c r="E161" s="25">
        <f t="shared" si="136"/>
        <v>2880000</v>
      </c>
      <c r="F161" s="25">
        <f t="shared" si="115"/>
        <v>0</v>
      </c>
      <c r="G161" s="25">
        <f t="shared" si="116"/>
        <v>59.4</v>
      </c>
      <c r="H161" s="25"/>
      <c r="I161" s="25">
        <f t="shared" si="117"/>
        <v>100</v>
      </c>
      <c r="J161" s="25"/>
      <c r="L161" s="21"/>
    </row>
    <row r="162" spans="1:12" s="20" customFormat="1" ht="46.8">
      <c r="A162" s="30" t="s">
        <v>139</v>
      </c>
      <c r="B162" s="24" t="s">
        <v>138</v>
      </c>
      <c r="C162" s="25">
        <f>255172.64</f>
        <v>255172.64</v>
      </c>
      <c r="D162" s="25">
        <f t="shared" ref="D162:E162" si="137">255172.64+1212070.03-255172.64-492070.03</f>
        <v>720000</v>
      </c>
      <c r="E162" s="25">
        <f t="shared" si="137"/>
        <v>720000</v>
      </c>
      <c r="F162" s="25">
        <f t="shared" si="115"/>
        <v>0</v>
      </c>
      <c r="G162" s="25">
        <f t="shared" si="116"/>
        <v>282.16000000000003</v>
      </c>
      <c r="H162" s="25"/>
      <c r="I162" s="25">
        <f t="shared" si="117"/>
        <v>100</v>
      </c>
      <c r="J162" s="25"/>
      <c r="L162" s="21"/>
    </row>
    <row r="163" spans="1:12" s="20" customFormat="1" ht="31.2">
      <c r="A163" s="22" t="s">
        <v>230</v>
      </c>
      <c r="B163" s="22" t="s">
        <v>62</v>
      </c>
      <c r="C163" s="29">
        <f>C164+C168</f>
        <v>150219000</v>
      </c>
      <c r="D163" s="29">
        <f t="shared" ref="D163:E163" si="138">D164+D168</f>
        <v>155334333.28999999</v>
      </c>
      <c r="E163" s="29">
        <f t="shared" si="138"/>
        <v>148811136.61000001</v>
      </c>
      <c r="F163" s="29">
        <f t="shared" si="115"/>
        <v>6523196.6799999997</v>
      </c>
      <c r="G163" s="29">
        <f t="shared" si="116"/>
        <v>99.06</v>
      </c>
      <c r="H163" s="29"/>
      <c r="I163" s="29">
        <f t="shared" si="117"/>
        <v>95.8</v>
      </c>
      <c r="J163" s="29"/>
      <c r="L163" s="21"/>
    </row>
    <row r="164" spans="1:12" s="20" customFormat="1" ht="31.2">
      <c r="A164" s="27" t="s">
        <v>231</v>
      </c>
      <c r="B164" s="44" t="s">
        <v>74</v>
      </c>
      <c r="C164" s="29">
        <f>C165+C166+C167</f>
        <v>30219000</v>
      </c>
      <c r="D164" s="29">
        <f t="shared" ref="D164:E164" si="139">D165+D166+D167</f>
        <v>35334333.289999999</v>
      </c>
      <c r="E164" s="29">
        <f t="shared" si="139"/>
        <v>28811136.609999999</v>
      </c>
      <c r="F164" s="29">
        <f t="shared" si="115"/>
        <v>6523196.6799999997</v>
      </c>
      <c r="G164" s="29">
        <f t="shared" si="116"/>
        <v>95.34</v>
      </c>
      <c r="H164" s="29"/>
      <c r="I164" s="29">
        <f t="shared" si="117"/>
        <v>81.540000000000006</v>
      </c>
      <c r="J164" s="29"/>
      <c r="L164" s="21"/>
    </row>
    <row r="165" spans="1:12" s="20" customFormat="1" ht="31.2">
      <c r="A165" s="24" t="s">
        <v>233</v>
      </c>
      <c r="B165" s="30" t="s">
        <v>63</v>
      </c>
      <c r="C165" s="25">
        <f>20907422.01</f>
        <v>20907422.010000002</v>
      </c>
      <c r="D165" s="25">
        <v>25906770.789999999</v>
      </c>
      <c r="E165" s="25">
        <v>19383574.109999999</v>
      </c>
      <c r="F165" s="25">
        <f t="shared" si="115"/>
        <v>6523196.6799999997</v>
      </c>
      <c r="G165" s="25">
        <f t="shared" si="116"/>
        <v>92.71</v>
      </c>
      <c r="H165" s="25"/>
      <c r="I165" s="25">
        <f t="shared" si="117"/>
        <v>74.819999999999993</v>
      </c>
      <c r="J165" s="25"/>
      <c r="L165" s="21"/>
    </row>
    <row r="166" spans="1:12" s="20" customFormat="1" ht="31.2">
      <c r="A166" s="45" t="s">
        <v>232</v>
      </c>
      <c r="B166" s="37" t="s">
        <v>64</v>
      </c>
      <c r="C166" s="25">
        <v>9065700</v>
      </c>
      <c r="D166" s="25">
        <v>9427562.5</v>
      </c>
      <c r="E166" s="25">
        <v>9427562.5</v>
      </c>
      <c r="F166" s="25">
        <f t="shared" si="115"/>
        <v>0</v>
      </c>
      <c r="G166" s="25">
        <f t="shared" si="116"/>
        <v>103.99</v>
      </c>
      <c r="H166" s="25"/>
      <c r="I166" s="25">
        <f t="shared" si="117"/>
        <v>100</v>
      </c>
      <c r="J166" s="25"/>
      <c r="L166" s="21"/>
    </row>
    <row r="167" spans="1:12" s="20" customFormat="1" ht="93.6">
      <c r="A167" s="24" t="s">
        <v>322</v>
      </c>
      <c r="B167" s="30" t="s">
        <v>323</v>
      </c>
      <c r="C167" s="25">
        <f>245877.99</f>
        <v>245877.99</v>
      </c>
      <c r="D167" s="25">
        <f t="shared" ref="D167:E167" si="140">245877.99-245877.99</f>
        <v>0</v>
      </c>
      <c r="E167" s="25">
        <f t="shared" si="140"/>
        <v>0</v>
      </c>
      <c r="F167" s="25">
        <f t="shared" si="115"/>
        <v>0</v>
      </c>
      <c r="G167" s="25">
        <f t="shared" si="116"/>
        <v>0</v>
      </c>
      <c r="H167" s="25"/>
      <c r="I167" s="25" t="e">
        <f t="shared" si="117"/>
        <v>#DIV/0!</v>
      </c>
      <c r="J167" s="25"/>
      <c r="L167" s="21"/>
    </row>
    <row r="168" spans="1:12" s="20" customFormat="1" ht="31.2">
      <c r="A168" s="15" t="s">
        <v>159</v>
      </c>
      <c r="B168" s="52" t="s">
        <v>90</v>
      </c>
      <c r="C168" s="29">
        <f>C169+C170</f>
        <v>120000000</v>
      </c>
      <c r="D168" s="29">
        <f t="shared" ref="D168:E168" si="141">D169+D170</f>
        <v>120000000</v>
      </c>
      <c r="E168" s="29">
        <f t="shared" si="141"/>
        <v>120000000</v>
      </c>
      <c r="F168" s="29">
        <f t="shared" si="115"/>
        <v>0</v>
      </c>
      <c r="G168" s="29">
        <f t="shared" si="116"/>
        <v>100</v>
      </c>
      <c r="H168" s="29"/>
      <c r="I168" s="29">
        <f t="shared" si="117"/>
        <v>100</v>
      </c>
      <c r="J168" s="29"/>
      <c r="L168" s="21"/>
    </row>
    <row r="169" spans="1:12" s="3" customFormat="1" ht="46.8">
      <c r="A169" s="34" t="s">
        <v>420</v>
      </c>
      <c r="B169" s="42" t="s">
        <v>418</v>
      </c>
      <c r="C169" s="25">
        <v>108000000</v>
      </c>
      <c r="D169" s="25">
        <v>108000000</v>
      </c>
      <c r="E169" s="25">
        <v>108000000</v>
      </c>
      <c r="F169" s="25">
        <f t="shared" si="115"/>
        <v>0</v>
      </c>
      <c r="G169" s="25">
        <f t="shared" si="116"/>
        <v>100</v>
      </c>
      <c r="H169" s="25"/>
      <c r="I169" s="25">
        <f t="shared" si="117"/>
        <v>100</v>
      </c>
      <c r="J169" s="25"/>
      <c r="L169" s="21"/>
    </row>
    <row r="170" spans="1:12" s="3" customFormat="1" ht="46.8">
      <c r="A170" s="53" t="s">
        <v>419</v>
      </c>
      <c r="B170" s="42" t="s">
        <v>418</v>
      </c>
      <c r="C170" s="25">
        <v>12000000</v>
      </c>
      <c r="D170" s="25">
        <v>12000000</v>
      </c>
      <c r="E170" s="25">
        <v>12000000</v>
      </c>
      <c r="F170" s="25">
        <f t="shared" si="115"/>
        <v>0</v>
      </c>
      <c r="G170" s="25">
        <f t="shared" si="116"/>
        <v>100</v>
      </c>
      <c r="H170" s="25"/>
      <c r="I170" s="25">
        <f t="shared" si="117"/>
        <v>100</v>
      </c>
      <c r="J170" s="25"/>
      <c r="L170" s="21"/>
    </row>
    <row r="171" spans="1:12" s="20" customFormat="1" ht="46.8">
      <c r="A171" s="27" t="s">
        <v>316</v>
      </c>
      <c r="B171" s="18" t="s">
        <v>65</v>
      </c>
      <c r="C171" s="29">
        <f>C172+C176</f>
        <v>8510612.4000000004</v>
      </c>
      <c r="D171" s="29">
        <f t="shared" ref="D171:E171" si="142">D172+D176</f>
        <v>8528549.3300000001</v>
      </c>
      <c r="E171" s="29">
        <f t="shared" si="142"/>
        <v>8527754</v>
      </c>
      <c r="F171" s="29">
        <f t="shared" si="115"/>
        <v>795.33</v>
      </c>
      <c r="G171" s="29">
        <f t="shared" si="116"/>
        <v>100.2</v>
      </c>
      <c r="H171" s="29"/>
      <c r="I171" s="29">
        <f t="shared" si="117"/>
        <v>99.99</v>
      </c>
      <c r="J171" s="29"/>
      <c r="L171" s="21"/>
    </row>
    <row r="172" spans="1:12" s="20" customFormat="1" ht="46.8">
      <c r="A172" s="27" t="s">
        <v>317</v>
      </c>
      <c r="B172" s="44" t="s">
        <v>66</v>
      </c>
      <c r="C172" s="29">
        <f>C173</f>
        <v>7565799.46</v>
      </c>
      <c r="D172" s="29">
        <f t="shared" ref="D172:E172" si="143">D173</f>
        <v>7721795.3300000001</v>
      </c>
      <c r="E172" s="29">
        <f t="shared" si="143"/>
        <v>7721000</v>
      </c>
      <c r="F172" s="29">
        <f t="shared" si="115"/>
        <v>795.33</v>
      </c>
      <c r="G172" s="29">
        <f t="shared" si="116"/>
        <v>102.05</v>
      </c>
      <c r="H172" s="29"/>
      <c r="I172" s="29">
        <f t="shared" si="117"/>
        <v>99.99</v>
      </c>
      <c r="J172" s="29"/>
      <c r="L172" s="21"/>
    </row>
    <row r="173" spans="1:12" s="20" customFormat="1" ht="31.2">
      <c r="A173" s="27" t="s">
        <v>335</v>
      </c>
      <c r="B173" s="44" t="s">
        <v>116</v>
      </c>
      <c r="C173" s="29">
        <f>C174+C175</f>
        <v>7565799.46</v>
      </c>
      <c r="D173" s="29">
        <f t="shared" ref="D173:E173" si="144">D174+D175</f>
        <v>7721795.3300000001</v>
      </c>
      <c r="E173" s="29">
        <f t="shared" si="144"/>
        <v>7721000</v>
      </c>
      <c r="F173" s="29">
        <f t="shared" si="115"/>
        <v>795.33</v>
      </c>
      <c r="G173" s="29">
        <f t="shared" si="116"/>
        <v>102.05</v>
      </c>
      <c r="H173" s="29"/>
      <c r="I173" s="29">
        <f t="shared" si="117"/>
        <v>99.99</v>
      </c>
      <c r="J173" s="29"/>
      <c r="L173" s="21"/>
    </row>
    <row r="174" spans="1:12" s="3" customFormat="1" ht="46.8">
      <c r="A174" s="34" t="s">
        <v>380</v>
      </c>
      <c r="B174" s="32" t="s">
        <v>118</v>
      </c>
      <c r="C174" s="25">
        <v>7490141.4699999997</v>
      </c>
      <c r="D174" s="25">
        <v>7490141.4699999997</v>
      </c>
      <c r="E174" s="25">
        <v>7489370</v>
      </c>
      <c r="F174" s="25">
        <f t="shared" si="115"/>
        <v>771.47</v>
      </c>
      <c r="G174" s="25">
        <f t="shared" si="116"/>
        <v>99.99</v>
      </c>
      <c r="H174" s="25"/>
      <c r="I174" s="25">
        <f t="shared" si="117"/>
        <v>99.99</v>
      </c>
      <c r="J174" s="25"/>
      <c r="L174" s="21"/>
    </row>
    <row r="175" spans="1:12" s="3" customFormat="1" ht="46.8">
      <c r="A175" s="34" t="s">
        <v>140</v>
      </c>
      <c r="B175" s="37" t="s">
        <v>118</v>
      </c>
      <c r="C175" s="25">
        <f>75657.99</f>
        <v>75657.990000000005</v>
      </c>
      <c r="D175" s="25">
        <f t="shared" ref="D175" si="145">75657.99+155995.87</f>
        <v>231653.86</v>
      </c>
      <c r="E175" s="25">
        <v>231630</v>
      </c>
      <c r="F175" s="25">
        <f t="shared" si="115"/>
        <v>23.86</v>
      </c>
      <c r="G175" s="25">
        <f t="shared" si="116"/>
        <v>306.14999999999998</v>
      </c>
      <c r="H175" s="25"/>
      <c r="I175" s="25">
        <f t="shared" si="117"/>
        <v>99.99</v>
      </c>
      <c r="J175" s="25"/>
      <c r="L175" s="21"/>
    </row>
    <row r="176" spans="1:12" s="20" customFormat="1" ht="31.2">
      <c r="A176" s="15" t="s">
        <v>318</v>
      </c>
      <c r="B176" s="18" t="s">
        <v>320</v>
      </c>
      <c r="C176" s="19">
        <f>C177</f>
        <v>944812.94</v>
      </c>
      <c r="D176" s="19">
        <f t="shared" ref="D176:E176" si="146">D177</f>
        <v>806754</v>
      </c>
      <c r="E176" s="19">
        <f t="shared" si="146"/>
        <v>806754</v>
      </c>
      <c r="F176" s="19">
        <f t="shared" si="115"/>
        <v>0</v>
      </c>
      <c r="G176" s="19">
        <f t="shared" si="116"/>
        <v>85.39</v>
      </c>
      <c r="H176" s="19"/>
      <c r="I176" s="19">
        <f t="shared" si="117"/>
        <v>100</v>
      </c>
      <c r="J176" s="19"/>
      <c r="L176" s="21"/>
    </row>
    <row r="177" spans="1:12" s="20" customFormat="1" ht="46.8">
      <c r="A177" s="15" t="s">
        <v>319</v>
      </c>
      <c r="B177" s="18" t="s">
        <v>321</v>
      </c>
      <c r="C177" s="19">
        <f>C178+C179</f>
        <v>944812.94</v>
      </c>
      <c r="D177" s="19">
        <f t="shared" ref="D177:E177" si="147">D178+D179</f>
        <v>806754</v>
      </c>
      <c r="E177" s="19">
        <f t="shared" si="147"/>
        <v>806754</v>
      </c>
      <c r="F177" s="19">
        <f t="shared" si="115"/>
        <v>0</v>
      </c>
      <c r="G177" s="19">
        <f t="shared" si="116"/>
        <v>85.39</v>
      </c>
      <c r="H177" s="19"/>
      <c r="I177" s="19">
        <f t="shared" si="117"/>
        <v>100</v>
      </c>
      <c r="J177" s="19"/>
      <c r="L177" s="21"/>
    </row>
    <row r="178" spans="1:12" s="3" customFormat="1" ht="78">
      <c r="A178" s="49" t="s">
        <v>141</v>
      </c>
      <c r="B178" s="24" t="s">
        <v>332</v>
      </c>
      <c r="C178" s="25">
        <f>897572.29</f>
        <v>897572.29</v>
      </c>
      <c r="D178" s="25">
        <f t="shared" ref="D178:E178" si="148">897572.29-494195.29</f>
        <v>403377</v>
      </c>
      <c r="E178" s="25">
        <f t="shared" si="148"/>
        <v>403377</v>
      </c>
      <c r="F178" s="25">
        <f t="shared" si="115"/>
        <v>0</v>
      </c>
      <c r="G178" s="25">
        <f t="shared" si="116"/>
        <v>44.94</v>
      </c>
      <c r="H178" s="25"/>
      <c r="I178" s="25">
        <f t="shared" si="117"/>
        <v>100</v>
      </c>
      <c r="J178" s="25"/>
      <c r="L178" s="21"/>
    </row>
    <row r="179" spans="1:12" s="3" customFormat="1" ht="62.4">
      <c r="A179" s="49" t="s">
        <v>142</v>
      </c>
      <c r="B179" s="24" t="s">
        <v>332</v>
      </c>
      <c r="C179" s="25">
        <f>47240.65</f>
        <v>47240.65</v>
      </c>
      <c r="D179" s="25">
        <f t="shared" ref="D179:E179" si="149">47240.65+356136.35</f>
        <v>403377</v>
      </c>
      <c r="E179" s="25">
        <f t="shared" si="149"/>
        <v>403377</v>
      </c>
      <c r="F179" s="25">
        <f t="shared" si="115"/>
        <v>0</v>
      </c>
      <c r="G179" s="25">
        <f t="shared" si="116"/>
        <v>853.88</v>
      </c>
      <c r="H179" s="25"/>
      <c r="I179" s="25">
        <f t="shared" si="117"/>
        <v>100</v>
      </c>
      <c r="J179" s="25"/>
      <c r="L179" s="21"/>
    </row>
    <row r="180" spans="1:12" s="20" customFormat="1" ht="46.8">
      <c r="A180" s="27" t="s">
        <v>391</v>
      </c>
      <c r="B180" s="18" t="s">
        <v>389</v>
      </c>
      <c r="C180" s="29">
        <f>C181</f>
        <v>0</v>
      </c>
      <c r="D180" s="29">
        <f t="shared" ref="D180:E182" si="150">D181</f>
        <v>553565.48</v>
      </c>
      <c r="E180" s="29">
        <f t="shared" si="150"/>
        <v>553565</v>
      </c>
      <c r="F180" s="29">
        <f t="shared" si="115"/>
        <v>0.48</v>
      </c>
      <c r="G180" s="29" t="e">
        <f t="shared" si="116"/>
        <v>#DIV/0!</v>
      </c>
      <c r="H180" s="29"/>
      <c r="I180" s="29">
        <f t="shared" si="117"/>
        <v>100</v>
      </c>
      <c r="J180" s="29"/>
      <c r="L180" s="21"/>
    </row>
    <row r="181" spans="1:12" s="20" customFormat="1" ht="31.2">
      <c r="A181" s="27" t="s">
        <v>392</v>
      </c>
      <c r="B181" s="44" t="s">
        <v>390</v>
      </c>
      <c r="C181" s="29">
        <f>C182</f>
        <v>0</v>
      </c>
      <c r="D181" s="29">
        <f t="shared" si="150"/>
        <v>553565.48</v>
      </c>
      <c r="E181" s="29">
        <f t="shared" si="150"/>
        <v>553565</v>
      </c>
      <c r="F181" s="29">
        <f t="shared" si="115"/>
        <v>0.48</v>
      </c>
      <c r="G181" s="29" t="e">
        <f t="shared" si="116"/>
        <v>#DIV/0!</v>
      </c>
      <c r="H181" s="29"/>
      <c r="I181" s="29">
        <f t="shared" si="117"/>
        <v>100</v>
      </c>
      <c r="J181" s="29"/>
      <c r="L181" s="21"/>
    </row>
    <row r="182" spans="1:12" s="20" customFormat="1" ht="46.8">
      <c r="A182" s="27" t="s">
        <v>393</v>
      </c>
      <c r="B182" s="44" t="s">
        <v>394</v>
      </c>
      <c r="C182" s="29">
        <f>C183</f>
        <v>0</v>
      </c>
      <c r="D182" s="29">
        <f t="shared" si="150"/>
        <v>553565.48</v>
      </c>
      <c r="E182" s="29">
        <f t="shared" si="150"/>
        <v>553565</v>
      </c>
      <c r="F182" s="29">
        <f t="shared" si="115"/>
        <v>0.48</v>
      </c>
      <c r="G182" s="29" t="e">
        <f t="shared" si="116"/>
        <v>#DIV/0!</v>
      </c>
      <c r="H182" s="29"/>
      <c r="I182" s="29">
        <f t="shared" si="117"/>
        <v>100</v>
      </c>
      <c r="J182" s="29"/>
      <c r="L182" s="21"/>
    </row>
    <row r="183" spans="1:12" s="3" customFormat="1" ht="31.2">
      <c r="A183" s="34" t="s">
        <v>396</v>
      </c>
      <c r="B183" s="32" t="s">
        <v>395</v>
      </c>
      <c r="C183" s="35">
        <v>0</v>
      </c>
      <c r="D183" s="35">
        <f t="shared" ref="D183" si="151">1744041.67-1190476.19</f>
        <v>553565.48</v>
      </c>
      <c r="E183" s="35">
        <v>553565</v>
      </c>
      <c r="F183" s="35">
        <f t="shared" si="115"/>
        <v>0.48</v>
      </c>
      <c r="G183" s="35" t="e">
        <f t="shared" si="116"/>
        <v>#DIV/0!</v>
      </c>
      <c r="H183" s="35"/>
      <c r="I183" s="35">
        <f t="shared" si="117"/>
        <v>100</v>
      </c>
      <c r="J183" s="35"/>
      <c r="L183" s="21"/>
    </row>
    <row r="184" spans="1:12" s="20" customFormat="1" ht="46.8">
      <c r="A184" s="27" t="s">
        <v>234</v>
      </c>
      <c r="B184" s="44" t="s">
        <v>67</v>
      </c>
      <c r="C184" s="19">
        <f>C185</f>
        <v>4016.6</v>
      </c>
      <c r="D184" s="19">
        <f t="shared" ref="D184:E186" si="152">D185</f>
        <v>4016</v>
      </c>
      <c r="E184" s="19">
        <f t="shared" si="152"/>
        <v>4016</v>
      </c>
      <c r="F184" s="19">
        <f t="shared" si="115"/>
        <v>0</v>
      </c>
      <c r="G184" s="19">
        <f t="shared" si="116"/>
        <v>99.99</v>
      </c>
      <c r="H184" s="19"/>
      <c r="I184" s="19">
        <f t="shared" si="117"/>
        <v>100</v>
      </c>
      <c r="J184" s="19"/>
      <c r="L184" s="21"/>
    </row>
    <row r="185" spans="1:12" s="20" customFormat="1" ht="46.8">
      <c r="A185" s="27" t="s">
        <v>235</v>
      </c>
      <c r="B185" s="44" t="s">
        <v>167</v>
      </c>
      <c r="C185" s="19">
        <f>C186</f>
        <v>4016.6</v>
      </c>
      <c r="D185" s="19">
        <f t="shared" si="152"/>
        <v>4016</v>
      </c>
      <c r="E185" s="19">
        <f t="shared" si="152"/>
        <v>4016</v>
      </c>
      <c r="F185" s="19">
        <f t="shared" si="115"/>
        <v>0</v>
      </c>
      <c r="G185" s="19">
        <f t="shared" si="116"/>
        <v>99.99</v>
      </c>
      <c r="H185" s="19"/>
      <c r="I185" s="19">
        <f t="shared" si="117"/>
        <v>100</v>
      </c>
      <c r="J185" s="19"/>
      <c r="L185" s="21"/>
    </row>
    <row r="186" spans="1:12" s="20" customFormat="1" ht="31.2">
      <c r="A186" s="33" t="s">
        <v>168</v>
      </c>
      <c r="B186" s="44" t="s">
        <v>169</v>
      </c>
      <c r="C186" s="19">
        <f>C187</f>
        <v>4016.6</v>
      </c>
      <c r="D186" s="19">
        <f t="shared" si="152"/>
        <v>4016</v>
      </c>
      <c r="E186" s="19">
        <f t="shared" si="152"/>
        <v>4016</v>
      </c>
      <c r="F186" s="19">
        <f t="shared" si="115"/>
        <v>0</v>
      </c>
      <c r="G186" s="19">
        <f t="shared" si="116"/>
        <v>99.99</v>
      </c>
      <c r="H186" s="19"/>
      <c r="I186" s="19">
        <f t="shared" si="117"/>
        <v>100</v>
      </c>
      <c r="J186" s="19"/>
      <c r="L186" s="21"/>
    </row>
    <row r="187" spans="1:12" s="3" customFormat="1" ht="31.2">
      <c r="A187" s="45" t="s">
        <v>170</v>
      </c>
      <c r="B187" s="37" t="s">
        <v>374</v>
      </c>
      <c r="C187" s="25">
        <f>4016.6</f>
        <v>4016.6</v>
      </c>
      <c r="D187" s="25">
        <f t="shared" ref="D187:E187" si="153">4016.6-0.6</f>
        <v>4016</v>
      </c>
      <c r="E187" s="25">
        <f t="shared" si="153"/>
        <v>4016</v>
      </c>
      <c r="F187" s="25">
        <f t="shared" si="115"/>
        <v>0</v>
      </c>
      <c r="G187" s="25">
        <f t="shared" si="116"/>
        <v>99.99</v>
      </c>
      <c r="H187" s="25"/>
      <c r="I187" s="25">
        <f t="shared" si="117"/>
        <v>100</v>
      </c>
      <c r="J187" s="25"/>
      <c r="L187" s="21"/>
    </row>
    <row r="188" spans="1:12" s="20" customFormat="1" ht="46.8">
      <c r="A188" s="15" t="s">
        <v>277</v>
      </c>
      <c r="B188" s="18" t="s">
        <v>49</v>
      </c>
      <c r="C188" s="29">
        <f>C189</f>
        <v>164000</v>
      </c>
      <c r="D188" s="29">
        <f t="shared" ref="D188:E188" si="154">D189</f>
        <v>164000</v>
      </c>
      <c r="E188" s="29">
        <f t="shared" si="154"/>
        <v>164000</v>
      </c>
      <c r="F188" s="29">
        <f t="shared" si="115"/>
        <v>0</v>
      </c>
      <c r="G188" s="29">
        <f t="shared" si="116"/>
        <v>100</v>
      </c>
      <c r="H188" s="29"/>
      <c r="I188" s="29">
        <f t="shared" si="117"/>
        <v>100</v>
      </c>
      <c r="J188" s="29"/>
      <c r="L188" s="21"/>
    </row>
    <row r="189" spans="1:12" s="20" customFormat="1" ht="62.4">
      <c r="A189" s="15" t="s">
        <v>278</v>
      </c>
      <c r="B189" s="18" t="s">
        <v>57</v>
      </c>
      <c r="C189" s="29">
        <f>C190+C192</f>
        <v>164000</v>
      </c>
      <c r="D189" s="29">
        <f t="shared" ref="D189:E189" si="155">D190+D192</f>
        <v>164000</v>
      </c>
      <c r="E189" s="29">
        <f t="shared" si="155"/>
        <v>164000</v>
      </c>
      <c r="F189" s="29">
        <f t="shared" si="115"/>
        <v>0</v>
      </c>
      <c r="G189" s="29">
        <f t="shared" si="116"/>
        <v>100</v>
      </c>
      <c r="H189" s="29"/>
      <c r="I189" s="29">
        <f t="shared" si="117"/>
        <v>100</v>
      </c>
      <c r="J189" s="29"/>
      <c r="L189" s="21"/>
    </row>
    <row r="190" spans="1:12" s="20" customFormat="1" ht="46.8">
      <c r="A190" s="33" t="s">
        <v>279</v>
      </c>
      <c r="B190" s="44" t="s">
        <v>281</v>
      </c>
      <c r="C190" s="19">
        <f>C191</f>
        <v>124000</v>
      </c>
      <c r="D190" s="19">
        <f t="shared" ref="D190:E190" si="156">D191</f>
        <v>124000</v>
      </c>
      <c r="E190" s="19">
        <f t="shared" si="156"/>
        <v>124000</v>
      </c>
      <c r="F190" s="19">
        <f t="shared" si="115"/>
        <v>0</v>
      </c>
      <c r="G190" s="19">
        <f t="shared" si="116"/>
        <v>100</v>
      </c>
      <c r="H190" s="19"/>
      <c r="I190" s="19">
        <f t="shared" si="117"/>
        <v>100</v>
      </c>
      <c r="J190" s="19"/>
      <c r="L190" s="21"/>
    </row>
    <row r="191" spans="1:12" s="3" customFormat="1" ht="46.8">
      <c r="A191" s="45" t="s">
        <v>282</v>
      </c>
      <c r="B191" s="37" t="s">
        <v>280</v>
      </c>
      <c r="C191" s="25">
        <v>124000</v>
      </c>
      <c r="D191" s="25">
        <v>124000</v>
      </c>
      <c r="E191" s="25">
        <v>124000</v>
      </c>
      <c r="F191" s="25">
        <f t="shared" si="115"/>
        <v>0</v>
      </c>
      <c r="G191" s="25">
        <f t="shared" si="116"/>
        <v>100</v>
      </c>
      <c r="H191" s="25"/>
      <c r="I191" s="25">
        <f t="shared" si="117"/>
        <v>100</v>
      </c>
      <c r="J191" s="25"/>
      <c r="L191" s="21"/>
    </row>
    <row r="192" spans="1:12" s="20" customFormat="1" ht="62.4">
      <c r="A192" s="33" t="s">
        <v>283</v>
      </c>
      <c r="B192" s="44" t="s">
        <v>354</v>
      </c>
      <c r="C192" s="19">
        <f>C193</f>
        <v>40000</v>
      </c>
      <c r="D192" s="19">
        <f t="shared" ref="D192:E192" si="157">D193</f>
        <v>40000</v>
      </c>
      <c r="E192" s="19">
        <f t="shared" si="157"/>
        <v>40000</v>
      </c>
      <c r="F192" s="19">
        <f t="shared" si="115"/>
        <v>0</v>
      </c>
      <c r="G192" s="19">
        <f t="shared" si="116"/>
        <v>100</v>
      </c>
      <c r="H192" s="19"/>
      <c r="I192" s="19">
        <f t="shared" si="117"/>
        <v>100</v>
      </c>
      <c r="J192" s="19"/>
      <c r="L192" s="21"/>
    </row>
    <row r="193" spans="1:12" s="3" customFormat="1" ht="15.6">
      <c r="A193" s="45" t="s">
        <v>43</v>
      </c>
      <c r="B193" s="37" t="s">
        <v>58</v>
      </c>
      <c r="C193" s="25">
        <v>40000</v>
      </c>
      <c r="D193" s="25">
        <v>40000</v>
      </c>
      <c r="E193" s="25">
        <v>40000</v>
      </c>
      <c r="F193" s="25">
        <f t="shared" si="115"/>
        <v>0</v>
      </c>
      <c r="G193" s="25">
        <f t="shared" si="116"/>
        <v>100</v>
      </c>
      <c r="H193" s="25"/>
      <c r="I193" s="25">
        <f t="shared" si="117"/>
        <v>100</v>
      </c>
      <c r="J193" s="25"/>
      <c r="L193" s="21"/>
    </row>
    <row r="194" spans="1:12" s="20" customFormat="1" ht="62.4">
      <c r="A194" s="54" t="s">
        <v>379</v>
      </c>
      <c r="B194" s="52" t="s">
        <v>217</v>
      </c>
      <c r="C194" s="29">
        <f>C195</f>
        <v>3084887.01</v>
      </c>
      <c r="D194" s="29">
        <f t="shared" ref="D194:E195" si="158">D195</f>
        <v>2450467.4900000002</v>
      </c>
      <c r="E194" s="29">
        <f t="shared" si="158"/>
        <v>2450467.4900000002</v>
      </c>
      <c r="F194" s="29">
        <f t="shared" si="115"/>
        <v>0</v>
      </c>
      <c r="G194" s="29">
        <f t="shared" si="116"/>
        <v>79.430000000000007</v>
      </c>
      <c r="H194" s="29"/>
      <c r="I194" s="29">
        <f t="shared" si="117"/>
        <v>100</v>
      </c>
      <c r="J194" s="29"/>
      <c r="L194" s="21"/>
    </row>
    <row r="195" spans="1:12" s="20" customFormat="1" ht="46.8">
      <c r="A195" s="54" t="s">
        <v>359</v>
      </c>
      <c r="B195" s="52" t="s">
        <v>216</v>
      </c>
      <c r="C195" s="29">
        <f>C196</f>
        <v>3084887.01</v>
      </c>
      <c r="D195" s="29">
        <f t="shared" si="158"/>
        <v>2450467.4900000002</v>
      </c>
      <c r="E195" s="29">
        <f t="shared" si="158"/>
        <v>2450467.4900000002</v>
      </c>
      <c r="F195" s="29">
        <f t="shared" si="115"/>
        <v>0</v>
      </c>
      <c r="G195" s="29">
        <f t="shared" si="116"/>
        <v>79.430000000000007</v>
      </c>
      <c r="H195" s="29"/>
      <c r="I195" s="29">
        <f t="shared" si="117"/>
        <v>100</v>
      </c>
      <c r="J195" s="29"/>
      <c r="L195" s="21"/>
    </row>
    <row r="196" spans="1:12" s="20" customFormat="1" ht="62.4">
      <c r="A196" s="54" t="s">
        <v>218</v>
      </c>
      <c r="B196" s="52" t="s">
        <v>145</v>
      </c>
      <c r="C196" s="29">
        <f>C197+C198+C199</f>
        <v>3084887.01</v>
      </c>
      <c r="D196" s="29">
        <f t="shared" ref="D196:E196" si="159">D197+D198+D199</f>
        <v>2450467.4900000002</v>
      </c>
      <c r="E196" s="29">
        <f t="shared" si="159"/>
        <v>2450467.4900000002</v>
      </c>
      <c r="F196" s="29">
        <f t="shared" si="115"/>
        <v>0</v>
      </c>
      <c r="G196" s="29">
        <f t="shared" si="116"/>
        <v>79.430000000000007</v>
      </c>
      <c r="H196" s="29"/>
      <c r="I196" s="29">
        <f t="shared" si="117"/>
        <v>100</v>
      </c>
      <c r="J196" s="29"/>
      <c r="L196" s="21"/>
    </row>
    <row r="197" spans="1:12" s="3" customFormat="1" ht="31.2">
      <c r="A197" s="23" t="s">
        <v>143</v>
      </c>
      <c r="B197" s="42" t="s">
        <v>355</v>
      </c>
      <c r="C197" s="38">
        <f>1000</f>
        <v>1000</v>
      </c>
      <c r="D197" s="38">
        <f t="shared" ref="D197:E197" si="160">1000+117113.26</f>
        <v>118113.26</v>
      </c>
      <c r="E197" s="38">
        <f t="shared" si="160"/>
        <v>118113.26</v>
      </c>
      <c r="F197" s="38">
        <f t="shared" si="115"/>
        <v>0</v>
      </c>
      <c r="G197" s="38">
        <f t="shared" si="116"/>
        <v>11811.33</v>
      </c>
      <c r="H197" s="38"/>
      <c r="I197" s="38">
        <f t="shared" si="117"/>
        <v>100</v>
      </c>
      <c r="J197" s="38"/>
      <c r="L197" s="21"/>
    </row>
    <row r="198" spans="1:12" s="3" customFormat="1" ht="62.4">
      <c r="A198" s="34" t="s">
        <v>381</v>
      </c>
      <c r="B198" s="42" t="s">
        <v>144</v>
      </c>
      <c r="C198" s="38">
        <f>2929692.66</f>
        <v>2929692.66</v>
      </c>
      <c r="D198" s="38">
        <f t="shared" ref="D198:E198" si="161">2929692.66-667309.06</f>
        <v>2262383.6</v>
      </c>
      <c r="E198" s="38">
        <f t="shared" si="161"/>
        <v>2262383.6</v>
      </c>
      <c r="F198" s="38">
        <f t="shared" si="115"/>
        <v>0</v>
      </c>
      <c r="G198" s="38">
        <f t="shared" si="116"/>
        <v>77.22</v>
      </c>
      <c r="H198" s="38"/>
      <c r="I198" s="38">
        <f t="shared" si="117"/>
        <v>100</v>
      </c>
      <c r="J198" s="38"/>
      <c r="L198" s="21"/>
    </row>
    <row r="199" spans="1:12" s="20" customFormat="1" ht="46.8">
      <c r="A199" s="23" t="s">
        <v>356</v>
      </c>
      <c r="B199" s="42" t="s">
        <v>144</v>
      </c>
      <c r="C199" s="38">
        <f>154194.35</f>
        <v>154194.35</v>
      </c>
      <c r="D199" s="38">
        <f t="shared" ref="D199:E199" si="162">154194.35-84223.72</f>
        <v>69970.63</v>
      </c>
      <c r="E199" s="38">
        <f t="shared" si="162"/>
        <v>69970.63</v>
      </c>
      <c r="F199" s="38">
        <f t="shared" si="115"/>
        <v>0</v>
      </c>
      <c r="G199" s="38">
        <f t="shared" si="116"/>
        <v>45.38</v>
      </c>
      <c r="H199" s="38"/>
      <c r="I199" s="38">
        <f t="shared" si="117"/>
        <v>100</v>
      </c>
      <c r="J199" s="38"/>
      <c r="L199" s="21"/>
    </row>
    <row r="200" spans="1:12" s="20" customFormat="1" ht="46.8">
      <c r="A200" s="15" t="s">
        <v>360</v>
      </c>
      <c r="B200" s="18" t="s">
        <v>119</v>
      </c>
      <c r="C200" s="19">
        <f>C201</f>
        <v>14497456.58</v>
      </c>
      <c r="D200" s="19">
        <f t="shared" ref="D200:E200" si="163">D201</f>
        <v>18746431.489999998</v>
      </c>
      <c r="E200" s="19">
        <f t="shared" si="163"/>
        <v>18746431.489999998</v>
      </c>
      <c r="F200" s="19">
        <f t="shared" si="115"/>
        <v>0</v>
      </c>
      <c r="G200" s="19">
        <f t="shared" si="116"/>
        <v>129.31</v>
      </c>
      <c r="H200" s="19"/>
      <c r="I200" s="19">
        <f t="shared" si="117"/>
        <v>100</v>
      </c>
      <c r="J200" s="19"/>
      <c r="L200" s="21"/>
    </row>
    <row r="201" spans="1:12" s="20" customFormat="1" ht="31.2">
      <c r="A201" s="15" t="s">
        <v>368</v>
      </c>
      <c r="B201" s="18" t="s">
        <v>313</v>
      </c>
      <c r="C201" s="19">
        <f>C202+C205</f>
        <v>14497456.58</v>
      </c>
      <c r="D201" s="19">
        <f t="shared" ref="D201:E201" si="164">D202+D205</f>
        <v>18746431.489999998</v>
      </c>
      <c r="E201" s="19">
        <f t="shared" si="164"/>
        <v>18746431.489999998</v>
      </c>
      <c r="F201" s="19">
        <f t="shared" si="115"/>
        <v>0</v>
      </c>
      <c r="G201" s="19">
        <f t="shared" si="116"/>
        <v>129.31</v>
      </c>
      <c r="H201" s="19"/>
      <c r="I201" s="19">
        <f t="shared" si="117"/>
        <v>100</v>
      </c>
      <c r="J201" s="19"/>
      <c r="L201" s="21"/>
    </row>
    <row r="202" spans="1:12" s="20" customFormat="1" ht="46.8">
      <c r="A202" s="15" t="s">
        <v>361</v>
      </c>
      <c r="B202" s="18" t="s">
        <v>314</v>
      </c>
      <c r="C202" s="19">
        <f>C203+C204</f>
        <v>14497456.58</v>
      </c>
      <c r="D202" s="19">
        <f t="shared" ref="D202:E202" si="165">D203+D204</f>
        <v>14344916.66</v>
      </c>
      <c r="E202" s="19">
        <f t="shared" si="165"/>
        <v>14344916.66</v>
      </c>
      <c r="F202" s="19">
        <f t="shared" ref="F202:F244" si="166">$D202-$E202</f>
        <v>0</v>
      </c>
      <c r="G202" s="19">
        <f t="shared" ref="G202:G244" si="167">$E202/$C202*100</f>
        <v>98.95</v>
      </c>
      <c r="H202" s="19"/>
      <c r="I202" s="19">
        <f t="shared" ref="I202:I244" si="168">$E202/$D202*100</f>
        <v>100</v>
      </c>
      <c r="J202" s="19"/>
      <c r="L202" s="21"/>
    </row>
    <row r="203" spans="1:12" s="20" customFormat="1" ht="46.8">
      <c r="A203" s="23" t="s">
        <v>146</v>
      </c>
      <c r="B203" s="24" t="s">
        <v>315</v>
      </c>
      <c r="C203" s="25">
        <f>13772583.75</f>
        <v>13772583.75</v>
      </c>
      <c r="D203" s="25">
        <f t="shared" ref="D203" si="169">13772583.75+141985.4</f>
        <v>13914569.15</v>
      </c>
      <c r="E203" s="25">
        <v>13914569.15</v>
      </c>
      <c r="F203" s="25">
        <f t="shared" si="166"/>
        <v>0</v>
      </c>
      <c r="G203" s="25">
        <f t="shared" si="167"/>
        <v>101.03</v>
      </c>
      <c r="H203" s="25"/>
      <c r="I203" s="25">
        <f t="shared" si="168"/>
        <v>100</v>
      </c>
      <c r="J203" s="25"/>
      <c r="L203" s="21"/>
    </row>
    <row r="204" spans="1:12" s="20" customFormat="1" ht="46.8">
      <c r="A204" s="23" t="s">
        <v>147</v>
      </c>
      <c r="B204" s="24" t="s">
        <v>315</v>
      </c>
      <c r="C204" s="25">
        <f>724872.83</f>
        <v>724872.83</v>
      </c>
      <c r="D204" s="25">
        <v>430347.51</v>
      </c>
      <c r="E204" s="25">
        <v>430347.51</v>
      </c>
      <c r="F204" s="25">
        <f t="shared" si="166"/>
        <v>0</v>
      </c>
      <c r="G204" s="25">
        <f t="shared" si="167"/>
        <v>59.37</v>
      </c>
      <c r="H204" s="25"/>
      <c r="I204" s="25">
        <f t="shared" si="168"/>
        <v>100</v>
      </c>
      <c r="J204" s="25"/>
      <c r="L204" s="21"/>
    </row>
    <row r="205" spans="1:12" s="20" customFormat="1" ht="46.8">
      <c r="A205" s="15" t="s">
        <v>398</v>
      </c>
      <c r="B205" s="18" t="s">
        <v>397</v>
      </c>
      <c r="C205" s="19">
        <f>C206+C207+C208+C209</f>
        <v>0</v>
      </c>
      <c r="D205" s="19">
        <f t="shared" ref="D205:E205" si="170">D206+D207+D208+D209</f>
        <v>4401514.83</v>
      </c>
      <c r="E205" s="19">
        <f t="shared" si="170"/>
        <v>4401514.83</v>
      </c>
      <c r="F205" s="19">
        <f t="shared" si="166"/>
        <v>0</v>
      </c>
      <c r="G205" s="19" t="e">
        <f t="shared" si="167"/>
        <v>#DIV/0!</v>
      </c>
      <c r="H205" s="19"/>
      <c r="I205" s="19">
        <f t="shared" si="168"/>
        <v>100</v>
      </c>
      <c r="J205" s="19"/>
      <c r="L205" s="21"/>
    </row>
    <row r="206" spans="1:12" s="20" customFormat="1" ht="46.8">
      <c r="A206" s="23" t="s">
        <v>401</v>
      </c>
      <c r="B206" s="24" t="s">
        <v>399</v>
      </c>
      <c r="C206" s="25">
        <v>0</v>
      </c>
      <c r="D206" s="25">
        <f t="shared" ref="D206:E206" si="171">2970000-742500</f>
        <v>2227500</v>
      </c>
      <c r="E206" s="25">
        <f t="shared" si="171"/>
        <v>2227500</v>
      </c>
      <c r="F206" s="25">
        <f t="shared" si="166"/>
        <v>0</v>
      </c>
      <c r="G206" s="25" t="e">
        <f t="shared" si="167"/>
        <v>#DIV/0!</v>
      </c>
      <c r="H206" s="25"/>
      <c r="I206" s="25">
        <f t="shared" si="168"/>
        <v>100</v>
      </c>
      <c r="J206" s="25"/>
      <c r="L206" s="21"/>
    </row>
    <row r="207" spans="1:12" s="20" customFormat="1" ht="62.4">
      <c r="A207" s="23" t="s">
        <v>402</v>
      </c>
      <c r="B207" s="24" t="s">
        <v>399</v>
      </c>
      <c r="C207" s="25">
        <v>0</v>
      </c>
      <c r="D207" s="25">
        <f t="shared" ref="D207:E207" si="172">30000-7500</f>
        <v>22500</v>
      </c>
      <c r="E207" s="25">
        <f t="shared" si="172"/>
        <v>22500</v>
      </c>
      <c r="F207" s="25">
        <f t="shared" si="166"/>
        <v>0</v>
      </c>
      <c r="G207" s="25" t="e">
        <f t="shared" si="167"/>
        <v>#DIV/0!</v>
      </c>
      <c r="H207" s="25"/>
      <c r="I207" s="25">
        <f t="shared" si="168"/>
        <v>100</v>
      </c>
      <c r="J207" s="25"/>
      <c r="L207" s="21"/>
    </row>
    <row r="208" spans="1:12" s="20" customFormat="1" ht="46.8">
      <c r="A208" s="23" t="s">
        <v>403</v>
      </c>
      <c r="B208" s="24" t="s">
        <v>400</v>
      </c>
      <c r="C208" s="25">
        <v>0</v>
      </c>
      <c r="D208" s="25">
        <f t="shared" ref="D208:E208" si="173">3000000-870000.32</f>
        <v>2129999.6800000002</v>
      </c>
      <c r="E208" s="25">
        <f t="shared" si="173"/>
        <v>2129999.6800000002</v>
      </c>
      <c r="F208" s="25">
        <f t="shared" si="166"/>
        <v>0</v>
      </c>
      <c r="G208" s="25" t="e">
        <f t="shared" si="167"/>
        <v>#DIV/0!</v>
      </c>
      <c r="H208" s="25"/>
      <c r="I208" s="25">
        <f t="shared" si="168"/>
        <v>100</v>
      </c>
      <c r="J208" s="25"/>
      <c r="L208" s="21"/>
    </row>
    <row r="209" spans="1:12" s="20" customFormat="1" ht="62.4">
      <c r="A209" s="23" t="s">
        <v>404</v>
      </c>
      <c r="B209" s="24" t="s">
        <v>400</v>
      </c>
      <c r="C209" s="25">
        <v>0</v>
      </c>
      <c r="D209" s="25">
        <f t="shared" ref="D209:E209" si="174">30303.04-8787.89</f>
        <v>21515.15</v>
      </c>
      <c r="E209" s="25">
        <f t="shared" si="174"/>
        <v>21515.15</v>
      </c>
      <c r="F209" s="25">
        <f t="shared" si="166"/>
        <v>0</v>
      </c>
      <c r="G209" s="25" t="e">
        <f t="shared" si="167"/>
        <v>#DIV/0!</v>
      </c>
      <c r="H209" s="25"/>
      <c r="I209" s="25">
        <f t="shared" si="168"/>
        <v>100</v>
      </c>
      <c r="J209" s="25"/>
      <c r="L209" s="21"/>
    </row>
    <row r="210" spans="1:12" s="20" customFormat="1" ht="31.2">
      <c r="A210" s="15" t="s">
        <v>455</v>
      </c>
      <c r="B210" s="18" t="s">
        <v>431</v>
      </c>
      <c r="C210" s="29">
        <f>C211</f>
        <v>0</v>
      </c>
      <c r="D210" s="29">
        <f t="shared" ref="D210:E212" si="175">D211</f>
        <v>22410</v>
      </c>
      <c r="E210" s="29">
        <f t="shared" si="175"/>
        <v>22410</v>
      </c>
      <c r="F210" s="29">
        <f t="shared" si="166"/>
        <v>0</v>
      </c>
      <c r="G210" s="29" t="e">
        <f t="shared" si="167"/>
        <v>#DIV/0!</v>
      </c>
      <c r="H210" s="29"/>
      <c r="I210" s="29">
        <f t="shared" si="168"/>
        <v>100</v>
      </c>
      <c r="J210" s="29"/>
      <c r="L210" s="21"/>
    </row>
    <row r="211" spans="1:12" s="20" customFormat="1" ht="31.2">
      <c r="A211" s="15" t="s">
        <v>435</v>
      </c>
      <c r="B211" s="18" t="s">
        <v>432</v>
      </c>
      <c r="C211" s="29">
        <f>C212</f>
        <v>0</v>
      </c>
      <c r="D211" s="29">
        <f t="shared" si="175"/>
        <v>22410</v>
      </c>
      <c r="E211" s="29">
        <f t="shared" si="175"/>
        <v>22410</v>
      </c>
      <c r="F211" s="29">
        <f t="shared" si="166"/>
        <v>0</v>
      </c>
      <c r="G211" s="29" t="e">
        <f t="shared" si="167"/>
        <v>#DIV/0!</v>
      </c>
      <c r="H211" s="29"/>
      <c r="I211" s="29">
        <f t="shared" si="168"/>
        <v>100</v>
      </c>
      <c r="J211" s="29"/>
      <c r="L211" s="21"/>
    </row>
    <row r="212" spans="1:12" s="20" customFormat="1" ht="62.4">
      <c r="A212" s="33" t="s">
        <v>436</v>
      </c>
      <c r="B212" s="44" t="s">
        <v>433</v>
      </c>
      <c r="C212" s="19">
        <f>C213</f>
        <v>0</v>
      </c>
      <c r="D212" s="19">
        <f t="shared" si="175"/>
        <v>22410</v>
      </c>
      <c r="E212" s="19">
        <f t="shared" si="175"/>
        <v>22410</v>
      </c>
      <c r="F212" s="19">
        <f t="shared" si="166"/>
        <v>0</v>
      </c>
      <c r="G212" s="19" t="e">
        <f t="shared" si="167"/>
        <v>#DIV/0!</v>
      </c>
      <c r="H212" s="19"/>
      <c r="I212" s="19">
        <f t="shared" si="168"/>
        <v>100</v>
      </c>
      <c r="J212" s="19"/>
      <c r="L212" s="21"/>
    </row>
    <row r="213" spans="1:12" s="3" customFormat="1" ht="62.4">
      <c r="A213" s="45" t="s">
        <v>437</v>
      </c>
      <c r="B213" s="37" t="s">
        <v>434</v>
      </c>
      <c r="C213" s="25">
        <v>0</v>
      </c>
      <c r="D213" s="25">
        <v>22410</v>
      </c>
      <c r="E213" s="25">
        <v>22410</v>
      </c>
      <c r="F213" s="25">
        <f t="shared" si="166"/>
        <v>0</v>
      </c>
      <c r="G213" s="25" t="e">
        <f t="shared" si="167"/>
        <v>#DIV/0!</v>
      </c>
      <c r="H213" s="25"/>
      <c r="I213" s="25">
        <f t="shared" si="168"/>
        <v>100</v>
      </c>
      <c r="J213" s="25"/>
      <c r="L213" s="21"/>
    </row>
    <row r="214" spans="1:12" s="20" customFormat="1" ht="46.8">
      <c r="A214" s="27" t="s">
        <v>221</v>
      </c>
      <c r="B214" s="18" t="s">
        <v>48</v>
      </c>
      <c r="C214" s="29">
        <f>C215</f>
        <v>315990712.14999998</v>
      </c>
      <c r="D214" s="29">
        <f t="shared" ref="D214:E215" si="176">D215</f>
        <v>384297636.24000001</v>
      </c>
      <c r="E214" s="29">
        <f t="shared" si="176"/>
        <v>363775946.35000002</v>
      </c>
      <c r="F214" s="29">
        <f t="shared" si="166"/>
        <v>20521689.890000001</v>
      </c>
      <c r="G214" s="29">
        <f t="shared" si="167"/>
        <v>115.12</v>
      </c>
      <c r="H214" s="29"/>
      <c r="I214" s="29">
        <f t="shared" si="168"/>
        <v>94.66</v>
      </c>
      <c r="J214" s="29"/>
      <c r="L214" s="21"/>
    </row>
    <row r="215" spans="1:12" s="20" customFormat="1" ht="31.2">
      <c r="A215" s="18" t="s">
        <v>219</v>
      </c>
      <c r="B215" s="18" t="s">
        <v>157</v>
      </c>
      <c r="C215" s="29">
        <f>C216</f>
        <v>315990712.14999998</v>
      </c>
      <c r="D215" s="29">
        <f t="shared" si="176"/>
        <v>384297636.24000001</v>
      </c>
      <c r="E215" s="29">
        <f t="shared" si="176"/>
        <v>363775946.35000002</v>
      </c>
      <c r="F215" s="29">
        <f t="shared" si="166"/>
        <v>20521689.890000001</v>
      </c>
      <c r="G215" s="29">
        <f t="shared" si="167"/>
        <v>115.12</v>
      </c>
      <c r="H215" s="29"/>
      <c r="I215" s="29">
        <f t="shared" si="168"/>
        <v>94.66</v>
      </c>
      <c r="J215" s="29"/>
      <c r="L215" s="21"/>
    </row>
    <row r="216" spans="1:12" s="20" customFormat="1" ht="15.6">
      <c r="A216" s="18" t="s">
        <v>220</v>
      </c>
      <c r="B216" s="18" t="s">
        <v>154</v>
      </c>
      <c r="C216" s="29">
        <f>C217+C218+C219+C220+C221+C222+C223+C224+C225+C226+C227+C228+C229+C230+C231+C232+C233+C234+C235+C236+C237+C238+C239+C240+C241+C242+C243</f>
        <v>315990712.14999998</v>
      </c>
      <c r="D216" s="29">
        <f t="shared" ref="D216:E216" si="177">D217+D218+D219+D220+D221+D222+D223+D224+D225+D226+D227+D228+D229+D230+D231+D232+D233+D234+D235+D236+D237+D238+D239+D240+D241+D242+D243</f>
        <v>384297636.24000001</v>
      </c>
      <c r="E216" s="29">
        <f t="shared" si="177"/>
        <v>363775946.35000002</v>
      </c>
      <c r="F216" s="29">
        <f t="shared" si="166"/>
        <v>20521689.890000001</v>
      </c>
      <c r="G216" s="29">
        <f t="shared" si="167"/>
        <v>115.12</v>
      </c>
      <c r="H216" s="29"/>
      <c r="I216" s="29">
        <f t="shared" si="168"/>
        <v>94.66</v>
      </c>
      <c r="J216" s="29"/>
      <c r="L216" s="21"/>
    </row>
    <row r="217" spans="1:12" s="3" customFormat="1" ht="15.6">
      <c r="A217" s="24" t="s">
        <v>333</v>
      </c>
      <c r="B217" s="24" t="s">
        <v>95</v>
      </c>
      <c r="C217" s="38">
        <v>3025000</v>
      </c>
      <c r="D217" s="38">
        <v>4763487.8899999997</v>
      </c>
      <c r="E217" s="38">
        <v>4763487.8899999997</v>
      </c>
      <c r="F217" s="38">
        <f t="shared" si="166"/>
        <v>0</v>
      </c>
      <c r="G217" s="38">
        <f t="shared" si="167"/>
        <v>157.47</v>
      </c>
      <c r="H217" s="38"/>
      <c r="I217" s="38">
        <f t="shared" si="168"/>
        <v>100</v>
      </c>
      <c r="J217" s="38"/>
      <c r="L217" s="21"/>
    </row>
    <row r="218" spans="1:12" s="3" customFormat="1" ht="31.2">
      <c r="A218" s="24" t="s">
        <v>31</v>
      </c>
      <c r="B218" s="24" t="s">
        <v>96</v>
      </c>
      <c r="C218" s="55">
        <f>123746583.16</f>
        <v>123746583.16</v>
      </c>
      <c r="D218" s="55">
        <v>147003244.34999999</v>
      </c>
      <c r="E218" s="55">
        <v>144445009.13</v>
      </c>
      <c r="F218" s="55">
        <f t="shared" si="166"/>
        <v>2558235.2200000002</v>
      </c>
      <c r="G218" s="55">
        <f t="shared" si="167"/>
        <v>116.73</v>
      </c>
      <c r="H218" s="55"/>
      <c r="I218" s="55">
        <f t="shared" si="168"/>
        <v>98.26</v>
      </c>
      <c r="J218" s="55"/>
      <c r="L218" s="21"/>
    </row>
    <row r="219" spans="1:12" s="3" customFormat="1" ht="15.6">
      <c r="A219" s="24" t="s">
        <v>339</v>
      </c>
      <c r="B219" s="24" t="s">
        <v>97</v>
      </c>
      <c r="C219" s="38">
        <f>3025000</f>
        <v>3025000</v>
      </c>
      <c r="D219" s="38">
        <f t="shared" ref="D219" si="178">3025000+277000+83600</f>
        <v>3385600</v>
      </c>
      <c r="E219" s="38">
        <v>3315913.54</v>
      </c>
      <c r="F219" s="38">
        <f t="shared" si="166"/>
        <v>69686.460000000006</v>
      </c>
      <c r="G219" s="38">
        <f t="shared" si="167"/>
        <v>109.62</v>
      </c>
      <c r="H219" s="38"/>
      <c r="I219" s="38">
        <f t="shared" si="168"/>
        <v>97.94</v>
      </c>
      <c r="J219" s="38"/>
      <c r="L219" s="21"/>
    </row>
    <row r="220" spans="1:12" s="3" customFormat="1" ht="15.6">
      <c r="A220" s="24" t="s">
        <v>340</v>
      </c>
      <c r="B220" s="24" t="s">
        <v>357</v>
      </c>
      <c r="C220" s="25">
        <f>2473153.37</f>
        <v>2473153.37</v>
      </c>
      <c r="D220" s="25">
        <f t="shared" ref="D220" si="179">2473153.37-482000-145500-64030+10000</f>
        <v>1791623.37</v>
      </c>
      <c r="E220" s="25">
        <v>1791617.48</v>
      </c>
      <c r="F220" s="25">
        <f t="shared" si="166"/>
        <v>5.89</v>
      </c>
      <c r="G220" s="25">
        <f t="shared" si="167"/>
        <v>72.44</v>
      </c>
      <c r="H220" s="25"/>
      <c r="I220" s="25">
        <f t="shared" si="168"/>
        <v>100</v>
      </c>
      <c r="J220" s="25"/>
      <c r="L220" s="21"/>
    </row>
    <row r="221" spans="1:12" s="3" customFormat="1" ht="15.6">
      <c r="A221" s="24" t="s">
        <v>32</v>
      </c>
      <c r="B221" s="24" t="s">
        <v>98</v>
      </c>
      <c r="C221" s="38">
        <f>2023906.26</f>
        <v>2023906.26</v>
      </c>
      <c r="D221" s="38">
        <f t="shared" ref="D221:E221" si="180">2023906.26+177145.79+53498.03+732.66</f>
        <v>2255282.7400000002</v>
      </c>
      <c r="E221" s="38">
        <f t="shared" si="180"/>
        <v>2255282.7400000002</v>
      </c>
      <c r="F221" s="38">
        <f t="shared" si="166"/>
        <v>0</v>
      </c>
      <c r="G221" s="38">
        <f t="shared" si="167"/>
        <v>111.43</v>
      </c>
      <c r="H221" s="38"/>
      <c r="I221" s="38">
        <f t="shared" si="168"/>
        <v>100</v>
      </c>
      <c r="J221" s="38"/>
      <c r="L221" s="21"/>
    </row>
    <row r="222" spans="1:12" s="3" customFormat="1" ht="31.2">
      <c r="A222" s="24" t="s">
        <v>222</v>
      </c>
      <c r="B222" s="24" t="s">
        <v>99</v>
      </c>
      <c r="C222" s="25">
        <f>20998956.6</f>
        <v>20998956.600000001</v>
      </c>
      <c r="D222" s="25">
        <f t="shared" ref="D222" si="181">20998956.6-537217+73217+464000-4808460+425000+128018+190520+3542922+522000-3785739.27+103217+208277+3251245.27+223000+1326738.1</f>
        <v>22325694.699999999</v>
      </c>
      <c r="E222" s="25">
        <v>14455219.060000001</v>
      </c>
      <c r="F222" s="25">
        <f t="shared" si="166"/>
        <v>7870475.6399999997</v>
      </c>
      <c r="G222" s="25">
        <f t="shared" si="167"/>
        <v>68.84</v>
      </c>
      <c r="H222" s="25"/>
      <c r="I222" s="25">
        <f t="shared" si="168"/>
        <v>64.75</v>
      </c>
      <c r="J222" s="25"/>
      <c r="L222" s="21"/>
    </row>
    <row r="223" spans="1:12" s="3" customFormat="1" ht="31.2">
      <c r="A223" s="24" t="s">
        <v>29</v>
      </c>
      <c r="B223" s="24" t="s">
        <v>100</v>
      </c>
      <c r="C223" s="38">
        <f>100000</f>
        <v>100000</v>
      </c>
      <c r="D223" s="38">
        <f t="shared" ref="D223" si="182">100000+68828.92+262700+57092.68+56000</f>
        <v>544621.6</v>
      </c>
      <c r="E223" s="38">
        <v>494627.52</v>
      </c>
      <c r="F223" s="38">
        <f t="shared" si="166"/>
        <v>49994.080000000002</v>
      </c>
      <c r="G223" s="38">
        <f t="shared" si="167"/>
        <v>494.63</v>
      </c>
      <c r="H223" s="38"/>
      <c r="I223" s="38">
        <f t="shared" si="168"/>
        <v>90.82</v>
      </c>
      <c r="J223" s="38"/>
      <c r="L223" s="21"/>
    </row>
    <row r="224" spans="1:12" s="3" customFormat="1" ht="15.6">
      <c r="A224" s="24" t="s">
        <v>27</v>
      </c>
      <c r="B224" s="24" t="s">
        <v>266</v>
      </c>
      <c r="C224" s="25">
        <f>72000</f>
        <v>72000</v>
      </c>
      <c r="D224" s="25">
        <f t="shared" ref="D224:E224" si="183">72000-54606.07</f>
        <v>17393.93</v>
      </c>
      <c r="E224" s="25">
        <f t="shared" si="183"/>
        <v>17393.93</v>
      </c>
      <c r="F224" s="25">
        <f t="shared" si="166"/>
        <v>0</v>
      </c>
      <c r="G224" s="25">
        <f t="shared" si="167"/>
        <v>24.16</v>
      </c>
      <c r="H224" s="25"/>
      <c r="I224" s="25">
        <f t="shared" si="168"/>
        <v>100</v>
      </c>
      <c r="J224" s="25"/>
      <c r="L224" s="21"/>
    </row>
    <row r="225" spans="1:12" s="3" customFormat="1" ht="46.8" outlineLevel="5">
      <c r="A225" s="23" t="s">
        <v>341</v>
      </c>
      <c r="B225" s="24" t="s">
        <v>370</v>
      </c>
      <c r="C225" s="25">
        <f>150000</f>
        <v>150000</v>
      </c>
      <c r="D225" s="25">
        <f t="shared" ref="D225" si="184">150000+300000+300000</f>
        <v>750000</v>
      </c>
      <c r="E225" s="25">
        <v>728504.35</v>
      </c>
      <c r="F225" s="25">
        <f t="shared" si="166"/>
        <v>21495.65</v>
      </c>
      <c r="G225" s="25">
        <f t="shared" si="167"/>
        <v>485.67</v>
      </c>
      <c r="H225" s="25"/>
      <c r="I225" s="25">
        <f t="shared" si="168"/>
        <v>97.13</v>
      </c>
      <c r="J225" s="25"/>
      <c r="L225" s="21"/>
    </row>
    <row r="226" spans="1:12" s="3" customFormat="1" ht="31.2" outlineLevel="5">
      <c r="A226" s="45" t="s">
        <v>311</v>
      </c>
      <c r="B226" s="24" t="s">
        <v>103</v>
      </c>
      <c r="C226" s="25">
        <f>16395503.9</f>
        <v>16395503.9</v>
      </c>
      <c r="D226" s="25">
        <v>28191155.190000001</v>
      </c>
      <c r="E226" s="25">
        <v>21428714.27</v>
      </c>
      <c r="F226" s="25">
        <f t="shared" si="166"/>
        <v>6762440.9199999999</v>
      </c>
      <c r="G226" s="25">
        <f t="shared" si="167"/>
        <v>130.69999999999999</v>
      </c>
      <c r="H226" s="25"/>
      <c r="I226" s="25">
        <f t="shared" si="168"/>
        <v>76.010000000000005</v>
      </c>
      <c r="J226" s="25"/>
      <c r="L226" s="21"/>
    </row>
    <row r="227" spans="1:12" s="3" customFormat="1" ht="31.2">
      <c r="A227" s="23" t="s">
        <v>37</v>
      </c>
      <c r="B227" s="24" t="s">
        <v>101</v>
      </c>
      <c r="C227" s="25">
        <f>3500000</f>
        <v>3500000</v>
      </c>
      <c r="D227" s="25">
        <f t="shared" ref="D227:E227" si="185">3500000-1314019.04</f>
        <v>2185980.96</v>
      </c>
      <c r="E227" s="25">
        <f t="shared" si="185"/>
        <v>2185980.96</v>
      </c>
      <c r="F227" s="25">
        <f t="shared" si="166"/>
        <v>0</v>
      </c>
      <c r="G227" s="25">
        <f t="shared" si="167"/>
        <v>62.46</v>
      </c>
      <c r="H227" s="25"/>
      <c r="I227" s="25">
        <f t="shared" si="168"/>
        <v>100</v>
      </c>
      <c r="J227" s="25"/>
      <c r="L227" s="21"/>
    </row>
    <row r="228" spans="1:12" s="3" customFormat="1" ht="31.2">
      <c r="A228" s="23" t="s">
        <v>174</v>
      </c>
      <c r="B228" s="24" t="s">
        <v>312</v>
      </c>
      <c r="C228" s="25">
        <f>266000</f>
        <v>266000</v>
      </c>
      <c r="D228" s="25">
        <f t="shared" ref="D228" si="186">266000-116000</f>
        <v>150000</v>
      </c>
      <c r="E228" s="25">
        <v>134500</v>
      </c>
      <c r="F228" s="25">
        <f>$D228-$E228</f>
        <v>15500</v>
      </c>
      <c r="G228" s="25">
        <f t="shared" si="167"/>
        <v>50.56</v>
      </c>
      <c r="H228" s="25"/>
      <c r="I228" s="25">
        <f t="shared" si="168"/>
        <v>89.67</v>
      </c>
      <c r="J228" s="25"/>
      <c r="L228" s="21"/>
    </row>
    <row r="229" spans="1:12" s="3" customFormat="1" ht="31.2">
      <c r="A229" s="53" t="s">
        <v>383</v>
      </c>
      <c r="B229" s="24" t="s">
        <v>175</v>
      </c>
      <c r="C229" s="25">
        <f>2064428.3</f>
        <v>2064428.3</v>
      </c>
      <c r="D229" s="25">
        <f t="shared" ref="D229" si="187">2064428.3+1495000-1181587.85</f>
        <v>2377840.4500000002</v>
      </c>
      <c r="E229" s="25">
        <v>2315954.4500000002</v>
      </c>
      <c r="F229" s="25">
        <f t="shared" si="166"/>
        <v>61886</v>
      </c>
      <c r="G229" s="25">
        <f t="shared" si="167"/>
        <v>112.18</v>
      </c>
      <c r="H229" s="25"/>
      <c r="I229" s="25">
        <f t="shared" si="168"/>
        <v>97.4</v>
      </c>
      <c r="J229" s="25"/>
      <c r="L229" s="21"/>
    </row>
    <row r="230" spans="1:12" s="3" customFormat="1" ht="15.6">
      <c r="A230" s="53" t="s">
        <v>177</v>
      </c>
      <c r="B230" s="24" t="s">
        <v>176</v>
      </c>
      <c r="C230" s="25">
        <f>6878000</f>
        <v>6878000</v>
      </c>
      <c r="D230" s="25">
        <v>19207186.149999999</v>
      </c>
      <c r="E230" s="25">
        <v>18055872.539999999</v>
      </c>
      <c r="F230" s="25">
        <f>$D230-$E230</f>
        <v>1151313.6100000001</v>
      </c>
      <c r="G230" s="25">
        <f t="shared" si="167"/>
        <v>262.52</v>
      </c>
      <c r="H230" s="25"/>
      <c r="I230" s="25">
        <f t="shared" si="168"/>
        <v>94.01</v>
      </c>
      <c r="J230" s="25"/>
      <c r="L230" s="21"/>
    </row>
    <row r="231" spans="1:12" s="3" customFormat="1" ht="62.4">
      <c r="A231" s="34" t="s">
        <v>33</v>
      </c>
      <c r="B231" s="30" t="s">
        <v>156</v>
      </c>
      <c r="C231" s="25">
        <f>2932332</f>
        <v>2932332</v>
      </c>
      <c r="D231" s="25">
        <f t="shared" ref="D231:E231" si="188">2932332-540556+3256</f>
        <v>2395032</v>
      </c>
      <c r="E231" s="25">
        <f t="shared" si="188"/>
        <v>2395032</v>
      </c>
      <c r="F231" s="25">
        <f t="shared" si="166"/>
        <v>0</v>
      </c>
      <c r="G231" s="25">
        <f t="shared" si="167"/>
        <v>81.680000000000007</v>
      </c>
      <c r="H231" s="25"/>
      <c r="I231" s="25">
        <f t="shared" si="168"/>
        <v>100</v>
      </c>
      <c r="J231" s="25"/>
      <c r="L231" s="21"/>
    </row>
    <row r="232" spans="1:12" s="3" customFormat="1" ht="62.4">
      <c r="A232" s="56" t="s">
        <v>50</v>
      </c>
      <c r="B232" s="24" t="s">
        <v>223</v>
      </c>
      <c r="C232" s="38">
        <f>4848</f>
        <v>4848</v>
      </c>
      <c r="D232" s="38">
        <f t="shared" ref="D232:E232" si="189">4848+12868</f>
        <v>17716</v>
      </c>
      <c r="E232" s="38">
        <f t="shared" si="189"/>
        <v>17716</v>
      </c>
      <c r="F232" s="38">
        <f t="shared" si="166"/>
        <v>0</v>
      </c>
      <c r="G232" s="38">
        <f t="shared" si="167"/>
        <v>365.43</v>
      </c>
      <c r="H232" s="38"/>
      <c r="I232" s="38">
        <f t="shared" si="168"/>
        <v>100</v>
      </c>
      <c r="J232" s="38"/>
      <c r="L232" s="21"/>
    </row>
    <row r="233" spans="1:12" s="3" customFormat="1" ht="93.6">
      <c r="A233" s="57" t="s">
        <v>369</v>
      </c>
      <c r="B233" s="24" t="s">
        <v>73</v>
      </c>
      <c r="C233" s="25">
        <f>1121405</f>
        <v>1121405</v>
      </c>
      <c r="D233" s="25">
        <f t="shared" ref="D233:E233" si="190">1121405-35672</f>
        <v>1085733</v>
      </c>
      <c r="E233" s="25">
        <f t="shared" si="190"/>
        <v>1085733</v>
      </c>
      <c r="F233" s="25">
        <f t="shared" si="166"/>
        <v>0</v>
      </c>
      <c r="G233" s="25">
        <f t="shared" si="167"/>
        <v>96.82</v>
      </c>
      <c r="H233" s="25"/>
      <c r="I233" s="25">
        <f t="shared" si="168"/>
        <v>100</v>
      </c>
      <c r="J233" s="25"/>
      <c r="L233" s="21"/>
    </row>
    <row r="234" spans="1:12" s="3" customFormat="1" ht="31.2">
      <c r="A234" s="24" t="s">
        <v>42</v>
      </c>
      <c r="B234" s="24" t="s">
        <v>102</v>
      </c>
      <c r="C234" s="38">
        <f>117996328.6</f>
        <v>117996328.59999999</v>
      </c>
      <c r="D234" s="38">
        <f t="shared" ref="D234" si="191">117996328.6+867980+1437385.3+4852425.86+5014290.17+2682452.99+2236198+793236.31-1670322-3000000-1400000-56807.14-364942-48159-22472.68</f>
        <v>129317594.41</v>
      </c>
      <c r="E234" s="38">
        <v>127694315.65000001</v>
      </c>
      <c r="F234" s="38">
        <f t="shared" si="166"/>
        <v>1623278.76</v>
      </c>
      <c r="G234" s="38">
        <f t="shared" si="167"/>
        <v>108.22</v>
      </c>
      <c r="H234" s="38"/>
      <c r="I234" s="38">
        <f t="shared" si="168"/>
        <v>98.74</v>
      </c>
      <c r="J234" s="38"/>
      <c r="L234" s="21"/>
    </row>
    <row r="235" spans="1:12" s="3" customFormat="1" ht="31.2">
      <c r="A235" s="24" t="s">
        <v>34</v>
      </c>
      <c r="B235" s="24" t="s">
        <v>375</v>
      </c>
      <c r="C235" s="38">
        <f>1751461</f>
        <v>1751461</v>
      </c>
      <c r="D235" s="38">
        <f t="shared" ref="D235:E235" si="192">1751461-27715</f>
        <v>1723746</v>
      </c>
      <c r="E235" s="38">
        <f t="shared" si="192"/>
        <v>1723746</v>
      </c>
      <c r="F235" s="38">
        <f t="shared" si="166"/>
        <v>0</v>
      </c>
      <c r="G235" s="38">
        <f t="shared" si="167"/>
        <v>98.42</v>
      </c>
      <c r="H235" s="38"/>
      <c r="I235" s="38">
        <f t="shared" si="168"/>
        <v>100</v>
      </c>
      <c r="J235" s="38"/>
      <c r="L235" s="21"/>
    </row>
    <row r="236" spans="1:12" s="3" customFormat="1" ht="31.2">
      <c r="A236" s="24" t="s">
        <v>36</v>
      </c>
      <c r="B236" s="24" t="s">
        <v>376</v>
      </c>
      <c r="C236" s="38">
        <v>1190768</v>
      </c>
      <c r="D236" s="38">
        <v>1190768</v>
      </c>
      <c r="E236" s="38">
        <v>1190768</v>
      </c>
      <c r="F236" s="38">
        <f t="shared" si="166"/>
        <v>0</v>
      </c>
      <c r="G236" s="38">
        <f t="shared" si="167"/>
        <v>100</v>
      </c>
      <c r="H236" s="38"/>
      <c r="I236" s="38">
        <f t="shared" si="168"/>
        <v>100</v>
      </c>
      <c r="J236" s="38"/>
      <c r="L236" s="21"/>
    </row>
    <row r="237" spans="1:12" s="3" customFormat="1" ht="78">
      <c r="A237" s="58" t="s">
        <v>158</v>
      </c>
      <c r="B237" s="34" t="s">
        <v>59</v>
      </c>
      <c r="C237" s="25">
        <f>2102922.68</f>
        <v>2102922.6800000002</v>
      </c>
      <c r="D237" s="25">
        <f t="shared" ref="D237" si="193">2102922.68+1203472.54</f>
        <v>3306395.22</v>
      </c>
      <c r="E237" s="25">
        <v>2972404.64</v>
      </c>
      <c r="F237" s="25">
        <f t="shared" si="166"/>
        <v>333990.58</v>
      </c>
      <c r="G237" s="25">
        <f t="shared" si="167"/>
        <v>141.35</v>
      </c>
      <c r="H237" s="25"/>
      <c r="I237" s="25">
        <f t="shared" si="168"/>
        <v>89.9</v>
      </c>
      <c r="J237" s="25"/>
      <c r="L237" s="21"/>
    </row>
    <row r="238" spans="1:12" s="3" customFormat="1" ht="46.8">
      <c r="A238" s="34" t="s">
        <v>35</v>
      </c>
      <c r="B238" s="58" t="s">
        <v>155</v>
      </c>
      <c r="C238" s="25">
        <f>1219473</f>
        <v>1219473</v>
      </c>
      <c r="D238" s="25">
        <f t="shared" ref="D238:E238" si="194">1219473-11440</f>
        <v>1208033</v>
      </c>
      <c r="E238" s="25">
        <f t="shared" si="194"/>
        <v>1208033</v>
      </c>
      <c r="F238" s="25">
        <f t="shared" si="166"/>
        <v>0</v>
      </c>
      <c r="G238" s="25">
        <f t="shared" si="167"/>
        <v>99.06</v>
      </c>
      <c r="H238" s="25"/>
      <c r="I238" s="25">
        <f t="shared" si="168"/>
        <v>100</v>
      </c>
      <c r="J238" s="25"/>
      <c r="L238" s="21"/>
    </row>
    <row r="239" spans="1:12" s="3" customFormat="1" ht="46.8">
      <c r="A239" s="59" t="s">
        <v>69</v>
      </c>
      <c r="B239" s="37" t="s">
        <v>286</v>
      </c>
      <c r="C239" s="25">
        <v>5166.2</v>
      </c>
      <c r="D239" s="25">
        <v>5166.2</v>
      </c>
      <c r="E239" s="25">
        <v>5166.2</v>
      </c>
      <c r="F239" s="25">
        <f t="shared" si="166"/>
        <v>0</v>
      </c>
      <c r="G239" s="25">
        <f t="shared" si="167"/>
        <v>100</v>
      </c>
      <c r="H239" s="25"/>
      <c r="I239" s="25">
        <f t="shared" si="168"/>
        <v>100</v>
      </c>
      <c r="J239" s="25"/>
      <c r="L239" s="21"/>
    </row>
    <row r="240" spans="1:12" s="3" customFormat="1" ht="46.8">
      <c r="A240" s="45" t="s">
        <v>384</v>
      </c>
      <c r="B240" s="37" t="s">
        <v>82</v>
      </c>
      <c r="C240" s="25">
        <v>3387.08</v>
      </c>
      <c r="D240" s="25">
        <v>3387.08</v>
      </c>
      <c r="E240" s="25">
        <v>0</v>
      </c>
      <c r="F240" s="25">
        <f t="shared" si="166"/>
        <v>3387.08</v>
      </c>
      <c r="G240" s="25">
        <f>$E240/$C240*100</f>
        <v>0</v>
      </c>
      <c r="H240" s="25"/>
      <c r="I240" s="25">
        <f t="shared" si="168"/>
        <v>0</v>
      </c>
      <c r="J240" s="25"/>
      <c r="L240" s="21"/>
    </row>
    <row r="241" spans="1:12" s="3" customFormat="1" ht="46.8">
      <c r="A241" s="32" t="s">
        <v>152</v>
      </c>
      <c r="B241" s="39" t="s">
        <v>224</v>
      </c>
      <c r="C241" s="38">
        <f>2607156</f>
        <v>2607156</v>
      </c>
      <c r="D241" s="38">
        <f t="shared" ref="D241:E241" si="195">2607156-24273</f>
        <v>2582883</v>
      </c>
      <c r="E241" s="38">
        <f t="shared" si="195"/>
        <v>2582883</v>
      </c>
      <c r="F241" s="38">
        <f t="shared" si="166"/>
        <v>0</v>
      </c>
      <c r="G241" s="38">
        <f t="shared" si="167"/>
        <v>99.07</v>
      </c>
      <c r="H241" s="38"/>
      <c r="I241" s="38">
        <f t="shared" si="168"/>
        <v>100</v>
      </c>
      <c r="J241" s="38"/>
      <c r="L241" s="21"/>
    </row>
    <row r="242" spans="1:12" s="3" customFormat="1" ht="46.8">
      <c r="A242" s="34" t="s">
        <v>334</v>
      </c>
      <c r="B242" s="30" t="s">
        <v>120</v>
      </c>
      <c r="C242" s="25">
        <f>336933</f>
        <v>336933</v>
      </c>
      <c r="D242" s="25">
        <f t="shared" ref="D242:E242" si="196">336933-3011+235176</f>
        <v>569098</v>
      </c>
      <c r="E242" s="25">
        <f t="shared" si="196"/>
        <v>569098</v>
      </c>
      <c r="F242" s="25">
        <f t="shared" si="166"/>
        <v>0</v>
      </c>
      <c r="G242" s="25">
        <f t="shared" si="167"/>
        <v>168.91</v>
      </c>
      <c r="H242" s="25"/>
      <c r="I242" s="25">
        <f t="shared" si="168"/>
        <v>100</v>
      </c>
      <c r="J242" s="25"/>
      <c r="L242" s="21"/>
    </row>
    <row r="243" spans="1:12" s="3" customFormat="1" ht="46.8">
      <c r="A243" s="34" t="s">
        <v>429</v>
      </c>
      <c r="B243" s="30" t="s">
        <v>430</v>
      </c>
      <c r="C243" s="25">
        <v>0</v>
      </c>
      <c r="D243" s="25">
        <v>5942973</v>
      </c>
      <c r="E243" s="25">
        <v>5942973</v>
      </c>
      <c r="F243" s="25">
        <f t="shared" si="166"/>
        <v>0</v>
      </c>
      <c r="G243" s="25" t="e">
        <f t="shared" si="167"/>
        <v>#DIV/0!</v>
      </c>
      <c r="H243" s="25"/>
      <c r="I243" s="25">
        <f t="shared" si="168"/>
        <v>100</v>
      </c>
      <c r="J243" s="25"/>
      <c r="L243" s="21"/>
    </row>
    <row r="244" spans="1:12" s="3" customFormat="1" ht="15.6" customHeight="1">
      <c r="A244" s="18" t="s">
        <v>28</v>
      </c>
      <c r="B244" s="18"/>
      <c r="C244" s="29">
        <f>C9+C12+C64+C79+C103+C132+C138+C148+C157+C171+C184+C188+C194+C200+C214+C180+C210</f>
        <v>1418604592.0899999</v>
      </c>
      <c r="D244" s="29">
        <f t="shared" ref="D244:E244" si="197">D9+D12+D64+D79+D103+D132+D138+D148+D157+D171+D184+D188+D194+D200+D214+D180+D210</f>
        <v>1515605691.3099999</v>
      </c>
      <c r="E244" s="29">
        <f t="shared" si="197"/>
        <v>1481251651.75</v>
      </c>
      <c r="F244" s="29">
        <f t="shared" si="166"/>
        <v>34354039.560000002</v>
      </c>
      <c r="G244" s="29">
        <f t="shared" si="167"/>
        <v>104.42</v>
      </c>
      <c r="H244" s="29"/>
      <c r="I244" s="29">
        <f t="shared" si="168"/>
        <v>97.73</v>
      </c>
      <c r="J244" s="29"/>
      <c r="L244" s="21"/>
    </row>
    <row r="245" spans="1:12" s="3" customFormat="1" ht="15">
      <c r="D245" s="60"/>
    </row>
    <row r="246" spans="1:12" s="20" customFormat="1" ht="15" customHeight="1">
      <c r="A246" s="3"/>
      <c r="B246" s="3"/>
      <c r="C246" s="3"/>
      <c r="D246" s="60"/>
      <c r="E246" s="3"/>
    </row>
    <row r="247" spans="1:12" s="20" customFormat="1" ht="15.6">
      <c r="A247" s="61"/>
      <c r="B247" s="3"/>
      <c r="C247" s="61"/>
      <c r="D247" s="62"/>
      <c r="E247" s="61"/>
    </row>
    <row r="248" spans="1:12" s="20" customFormat="1" ht="15.6">
      <c r="A248" s="3"/>
      <c r="B248" s="3"/>
      <c r="C248" s="61"/>
      <c r="D248" s="61"/>
      <c r="E248" s="61"/>
    </row>
    <row r="249" spans="1:12" s="20" customFormat="1" ht="15.6">
      <c r="A249" s="61"/>
      <c r="B249" s="3"/>
      <c r="C249" s="61"/>
      <c r="D249" s="61"/>
      <c r="E249" s="61"/>
    </row>
    <row r="250" spans="1:12" s="20" customFormat="1" ht="15.6">
      <c r="A250" s="3"/>
      <c r="B250" s="3"/>
      <c r="C250" s="61"/>
      <c r="D250" s="61"/>
      <c r="E250" s="61"/>
    </row>
    <row r="251" spans="1:12" s="20" customFormat="1" ht="15.6">
      <c r="A251" s="3"/>
      <c r="B251" s="3"/>
      <c r="C251" s="61"/>
      <c r="D251" s="61"/>
      <c r="E251" s="61"/>
    </row>
    <row r="252" spans="1:12" s="20" customFormat="1" ht="15.6">
      <c r="A252" s="3"/>
      <c r="B252" s="3"/>
      <c r="C252" s="3"/>
      <c r="D252" s="60"/>
    </row>
    <row r="253" spans="1:12" s="20" customFormat="1" ht="15.6">
      <c r="A253" s="3"/>
      <c r="B253" s="3"/>
      <c r="C253" s="3"/>
      <c r="D253" s="60"/>
    </row>
    <row r="254" spans="1:12" s="20" customFormat="1" ht="15.6">
      <c r="A254" s="3"/>
      <c r="B254" s="3"/>
      <c r="C254" s="3"/>
      <c r="D254" s="60"/>
    </row>
    <row r="255" spans="1:12" s="20" customFormat="1" ht="15.6">
      <c r="A255" s="3"/>
      <c r="B255" s="3"/>
      <c r="C255" s="3"/>
      <c r="D255" s="60"/>
    </row>
    <row r="256" spans="1:12" s="20" customFormat="1" ht="15.6">
      <c r="A256" s="3"/>
      <c r="B256" s="3"/>
      <c r="C256" s="3"/>
      <c r="D256" s="60"/>
    </row>
    <row r="257" spans="1:4" s="20" customFormat="1" ht="15.6">
      <c r="A257" s="3"/>
      <c r="B257" s="3"/>
      <c r="C257" s="3"/>
      <c r="D257" s="60"/>
    </row>
    <row r="258" spans="1:4" s="20" customFormat="1" ht="15.6">
      <c r="A258" s="3"/>
      <c r="B258" s="3"/>
      <c r="C258" s="3"/>
      <c r="D258" s="60"/>
    </row>
    <row r="259" spans="1:4" s="20" customFormat="1" ht="18.75" customHeight="1">
      <c r="A259" s="3"/>
      <c r="B259" s="3"/>
      <c r="C259" s="3"/>
      <c r="D259" s="60"/>
    </row>
    <row r="260" spans="1:4" s="20" customFormat="1" ht="23.7" customHeight="1">
      <c r="A260" s="3"/>
      <c r="B260" s="3"/>
      <c r="C260" s="3"/>
      <c r="D260" s="60"/>
    </row>
    <row r="261" spans="1:4" s="20" customFormat="1" ht="15" customHeight="1">
      <c r="A261" s="3"/>
      <c r="B261" s="3"/>
      <c r="C261" s="3"/>
      <c r="D261" s="60"/>
    </row>
    <row r="262" spans="1:4" s="20" customFormat="1" ht="15.6">
      <c r="A262" s="3"/>
      <c r="B262" s="3"/>
      <c r="C262" s="3"/>
      <c r="D262" s="60"/>
    </row>
    <row r="263" spans="1:4" s="20" customFormat="1" ht="15.9" customHeight="1">
      <c r="A263" s="3"/>
      <c r="B263" s="3"/>
      <c r="C263" s="3"/>
      <c r="D263" s="60"/>
    </row>
    <row r="264" spans="1:4" ht="15">
      <c r="A264" s="3"/>
      <c r="B264" s="3"/>
      <c r="C264" s="3"/>
      <c r="D264" s="60"/>
    </row>
    <row r="265" spans="1:4" ht="12.9" customHeight="1">
      <c r="A265" s="3"/>
      <c r="B265" s="3"/>
      <c r="C265" s="3"/>
      <c r="D265" s="60"/>
    </row>
    <row r="266" spans="1:4" ht="15">
      <c r="A266" s="3"/>
      <c r="B266" s="3"/>
      <c r="C266" s="3"/>
      <c r="D266" s="60"/>
    </row>
    <row r="267" spans="1:4" ht="15">
      <c r="A267" s="3"/>
      <c r="B267" s="3"/>
      <c r="C267" s="3"/>
      <c r="D267" s="60"/>
    </row>
  </sheetData>
  <mergeCells count="5">
    <mergeCell ref="G1:J1"/>
    <mergeCell ref="G2:J2"/>
    <mergeCell ref="G3:J3"/>
    <mergeCell ref="G4:J4"/>
    <mergeCell ref="A5:J5"/>
  </mergeCells>
  <pageMargins left="0.98425196850393704" right="0.59055118110236227" top="0.35433070866141736" bottom="0.43307086614173229" header="0.15748031496062992" footer="0.31496062992125984"/>
  <pageSetup paperSize="9" scale="49" fitToHeight="10" orientation="landscape" horizontalDpi="1200" verticalDpi="1200" r:id="rId1"/>
  <headerFooter alignWithMargins="0">
    <oddHeader>&amp;R&amp;P</oddHeader>
  </headerFooter>
  <rowBreaks count="1" manualBreakCount="1">
    <brk id="23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пограммная 1 чтение</vt:lpstr>
      <vt:lpstr>'пограммная 1 чтение'!Область_печати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mitronin</dc:creator>
  <cp:lastModifiedBy>user</cp:lastModifiedBy>
  <cp:lastPrinted>2025-03-31T03:45:50Z</cp:lastPrinted>
  <dcterms:created xsi:type="dcterms:W3CDTF">2002-10-08T15:02:13Z</dcterms:created>
  <dcterms:modified xsi:type="dcterms:W3CDTF">2025-06-18T04:10:09Z</dcterms:modified>
</cp:coreProperties>
</file>