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728" yWindow="312" windowWidth="11520" windowHeight="11940" tabRatio="599"/>
  </bookViews>
  <sheets>
    <sheet name="Расходы 1 квартал" sheetId="16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'Расходы 1 квартал'!$B$7:$M$628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'Расходы 1 квартал'!$A$1:$L$628</definedName>
  </definedNames>
  <calcPr calcId="145621" fullPrecision="0"/>
</workbook>
</file>

<file path=xl/calcChain.xml><?xml version="1.0" encoding="utf-8"?>
<calcChain xmlns="http://schemas.openxmlformats.org/spreadsheetml/2006/main">
  <c r="K9" i="16" l="1"/>
  <c r="J16" i="16" l="1"/>
  <c r="F625" i="16"/>
  <c r="F612" i="16"/>
  <c r="F611" i="16"/>
  <c r="F602" i="16"/>
  <c r="F594" i="16"/>
  <c r="F571" i="16"/>
  <c r="F564" i="16"/>
  <c r="F553" i="16"/>
  <c r="F545" i="16"/>
  <c r="F539" i="16"/>
  <c r="F537" i="16"/>
  <c r="F534" i="16"/>
  <c r="F523" i="16"/>
  <c r="F516" i="16"/>
  <c r="F514" i="16"/>
  <c r="F512" i="16"/>
  <c r="F510" i="16"/>
  <c r="F504" i="16"/>
  <c r="F502" i="16"/>
  <c r="F499" i="16"/>
  <c r="F496" i="16"/>
  <c r="F494" i="16"/>
  <c r="F492" i="16"/>
  <c r="F448" i="16"/>
  <c r="F446" i="16"/>
  <c r="F444" i="16"/>
  <c r="F442" i="16"/>
  <c r="F433" i="16"/>
  <c r="F423" i="16"/>
  <c r="F397" i="16"/>
  <c r="F395" i="16"/>
  <c r="F378" i="16"/>
  <c r="F377" i="16"/>
  <c r="F362" i="16"/>
  <c r="F360" i="16"/>
  <c r="F354" i="16"/>
  <c r="F349" i="16"/>
  <c r="F305" i="16"/>
  <c r="F292" i="16"/>
  <c r="F287" i="16"/>
  <c r="F278" i="16"/>
  <c r="F236" i="16"/>
  <c r="F233" i="16"/>
  <c r="F228" i="16"/>
  <c r="F226" i="16"/>
  <c r="F209" i="16"/>
  <c r="F202" i="16"/>
  <c r="F198" i="16"/>
  <c r="F197" i="16"/>
  <c r="F180" i="16"/>
  <c r="F141" i="16"/>
  <c r="F136" i="16"/>
  <c r="F134" i="16"/>
  <c r="F129" i="16"/>
  <c r="F117" i="16"/>
  <c r="F110" i="16"/>
  <c r="F103" i="16"/>
  <c r="F101" i="16"/>
  <c r="F98" i="16"/>
  <c r="F96" i="16"/>
  <c r="F91" i="16"/>
  <c r="F89" i="16"/>
  <c r="F86" i="16"/>
  <c r="F83" i="16"/>
  <c r="F58" i="16"/>
  <c r="F50" i="16"/>
  <c r="F44" i="16"/>
  <c r="F34" i="16"/>
  <c r="F33" i="16"/>
  <c r="F26" i="16"/>
  <c r="H372" i="16" l="1"/>
  <c r="K245" i="16" l="1"/>
  <c r="I245" i="16"/>
  <c r="H244" i="16"/>
  <c r="H243" i="16" s="1"/>
  <c r="H242" i="16" s="1"/>
  <c r="G244" i="16"/>
  <c r="F244" i="16"/>
  <c r="H201" i="16"/>
  <c r="I244" i="16" l="1"/>
  <c r="G243" i="16"/>
  <c r="G242" i="16" s="1"/>
  <c r="I242" i="16" s="1"/>
  <c r="K244" i="16"/>
  <c r="I243" i="16" l="1"/>
  <c r="K243" i="16"/>
  <c r="K242" i="16"/>
  <c r="K627" i="16" l="1"/>
  <c r="K626" i="16"/>
  <c r="K624" i="16"/>
  <c r="K617" i="16"/>
  <c r="K615" i="16"/>
  <c r="K613" i="16"/>
  <c r="K603" i="16"/>
  <c r="K600" i="16"/>
  <c r="K587" i="16"/>
  <c r="K583" i="16"/>
  <c r="K575" i="16"/>
  <c r="K573" i="16"/>
  <c r="K570" i="16"/>
  <c r="K562" i="16"/>
  <c r="K560" i="16"/>
  <c r="K559" i="16"/>
  <c r="K532" i="16"/>
  <c r="K528" i="16"/>
  <c r="K521" i="16"/>
  <c r="K519" i="16"/>
  <c r="K472" i="16"/>
  <c r="K460" i="16"/>
  <c r="K458" i="16"/>
  <c r="K456" i="16"/>
  <c r="K454" i="16"/>
  <c r="K452" i="16"/>
  <c r="K450" i="16"/>
  <c r="K440" i="16"/>
  <c r="K436" i="16"/>
  <c r="K428" i="16"/>
  <c r="K425" i="16"/>
  <c r="K414" i="16"/>
  <c r="K407" i="16"/>
  <c r="K393" i="16"/>
  <c r="K391" i="16"/>
  <c r="K387" i="16"/>
  <c r="K385" i="16"/>
  <c r="K373" i="16"/>
  <c r="K370" i="16"/>
  <c r="K368" i="16"/>
  <c r="K356" i="16"/>
  <c r="K348" i="16"/>
  <c r="K342" i="16"/>
  <c r="K335" i="16"/>
  <c r="K328" i="16"/>
  <c r="K324" i="16"/>
  <c r="K321" i="16"/>
  <c r="K318" i="16"/>
  <c r="K312" i="16"/>
  <c r="K290" i="16"/>
  <c r="K283" i="16"/>
  <c r="K276" i="16"/>
  <c r="K272" i="16"/>
  <c r="K270" i="16"/>
  <c r="K266" i="16"/>
  <c r="K260" i="16"/>
  <c r="K258" i="16"/>
  <c r="K239" i="16"/>
  <c r="K228" i="16"/>
  <c r="K224" i="16"/>
  <c r="K222" i="16"/>
  <c r="K204" i="16"/>
  <c r="K193" i="16"/>
  <c r="K186" i="16"/>
  <c r="K175" i="16"/>
  <c r="K173" i="16"/>
  <c r="K170" i="16"/>
  <c r="K168" i="16"/>
  <c r="K162" i="16"/>
  <c r="K160" i="16"/>
  <c r="K158" i="16"/>
  <c r="K156" i="16"/>
  <c r="K154" i="16"/>
  <c r="K152" i="16"/>
  <c r="K122" i="16"/>
  <c r="K121" i="16"/>
  <c r="K119" i="16"/>
  <c r="K100" i="16"/>
  <c r="K96" i="16"/>
  <c r="K94" i="16"/>
  <c r="K88" i="16"/>
  <c r="K85" i="16"/>
  <c r="K81" i="16"/>
  <c r="K72" i="16"/>
  <c r="K69" i="16"/>
  <c r="K64" i="16"/>
  <c r="K62" i="16"/>
  <c r="K52" i="16"/>
  <c r="K50" i="16"/>
  <c r="K38" i="16"/>
  <c r="K37" i="16"/>
  <c r="K35" i="16"/>
  <c r="K18" i="16"/>
  <c r="K16" i="16"/>
  <c r="J627" i="16"/>
  <c r="J626" i="16"/>
  <c r="J624" i="16"/>
  <c r="J617" i="16"/>
  <c r="J615" i="16"/>
  <c r="J613" i="16"/>
  <c r="J603" i="16"/>
  <c r="J600" i="16"/>
  <c r="J587" i="16"/>
  <c r="J583" i="16"/>
  <c r="J575" i="16"/>
  <c r="J573" i="16"/>
  <c r="J570" i="16"/>
  <c r="J562" i="16"/>
  <c r="J560" i="16"/>
  <c r="J559" i="16"/>
  <c r="J532" i="16"/>
  <c r="J528" i="16"/>
  <c r="J521" i="16"/>
  <c r="J519" i="16"/>
  <c r="J472" i="16"/>
  <c r="J460" i="16"/>
  <c r="J458" i="16"/>
  <c r="J456" i="16"/>
  <c r="J454" i="16"/>
  <c r="J452" i="16"/>
  <c r="J450" i="16"/>
  <c r="J436" i="16"/>
  <c r="J428" i="16"/>
  <c r="J425" i="16"/>
  <c r="J414" i="16"/>
  <c r="J407" i="16"/>
  <c r="J393" i="16"/>
  <c r="J391" i="16"/>
  <c r="J387" i="16"/>
  <c r="J385" i="16"/>
  <c r="J373" i="16"/>
  <c r="J370" i="16"/>
  <c r="J368" i="16"/>
  <c r="J356" i="16"/>
  <c r="J348" i="16"/>
  <c r="J342" i="16"/>
  <c r="J335" i="16"/>
  <c r="J328" i="16"/>
  <c r="J324" i="16"/>
  <c r="J321" i="16"/>
  <c r="J318" i="16"/>
  <c r="J290" i="16"/>
  <c r="J283" i="16"/>
  <c r="J272" i="16"/>
  <c r="J270" i="16"/>
  <c r="J266" i="16"/>
  <c r="J239" i="16"/>
  <c r="J236" i="16"/>
  <c r="J233" i="16"/>
  <c r="J228" i="16"/>
  <c r="J226" i="16"/>
  <c r="J224" i="16"/>
  <c r="J222" i="16"/>
  <c r="J209" i="16"/>
  <c r="J204" i="16"/>
  <c r="J202" i="16"/>
  <c r="J198" i="16"/>
  <c r="J193" i="16"/>
  <c r="J186" i="16"/>
  <c r="J175" i="16"/>
  <c r="J173" i="16"/>
  <c r="J170" i="16"/>
  <c r="J168" i="16"/>
  <c r="J162" i="16"/>
  <c r="J160" i="16"/>
  <c r="J158" i="16"/>
  <c r="J156" i="16"/>
  <c r="J154" i="16"/>
  <c r="J152" i="16"/>
  <c r="J136" i="16"/>
  <c r="J134" i="16"/>
  <c r="J129" i="16"/>
  <c r="J121" i="16"/>
  <c r="J117" i="16"/>
  <c r="J110" i="16"/>
  <c r="J103" i="16"/>
  <c r="J101" i="16"/>
  <c r="J100" i="16"/>
  <c r="J98" i="16"/>
  <c r="J96" i="16"/>
  <c r="J94" i="16"/>
  <c r="J91" i="16"/>
  <c r="J89" i="16"/>
  <c r="J88" i="16"/>
  <c r="J86" i="16"/>
  <c r="J85" i="16"/>
  <c r="J83" i="16"/>
  <c r="J81" i="16"/>
  <c r="J72" i="16"/>
  <c r="J69" i="16"/>
  <c r="J64" i="16"/>
  <c r="J62" i="16"/>
  <c r="J58" i="16"/>
  <c r="J52" i="16"/>
  <c r="J50" i="16"/>
  <c r="J44" i="16"/>
  <c r="J35" i="16"/>
  <c r="J34" i="16"/>
  <c r="J33" i="16"/>
  <c r="J26" i="16"/>
  <c r="J18" i="16"/>
  <c r="I627" i="16"/>
  <c r="I626" i="16"/>
  <c r="I624" i="16"/>
  <c r="I617" i="16"/>
  <c r="I615" i="16"/>
  <c r="I613" i="16"/>
  <c r="I603" i="16"/>
  <c r="I600" i="16"/>
  <c r="I587" i="16"/>
  <c r="I583" i="16"/>
  <c r="I575" i="16"/>
  <c r="I574" i="16"/>
  <c r="I573" i="16"/>
  <c r="I572" i="16"/>
  <c r="I570" i="16"/>
  <c r="I562" i="16"/>
  <c r="I560" i="16"/>
  <c r="I559" i="16"/>
  <c r="I532" i="16"/>
  <c r="I528" i="16"/>
  <c r="I521" i="16"/>
  <c r="I519" i="16"/>
  <c r="I482" i="16"/>
  <c r="I480" i="16"/>
  <c r="I475" i="16"/>
  <c r="I473" i="16"/>
  <c r="I472" i="16"/>
  <c r="I465" i="16"/>
  <c r="I463" i="16"/>
  <c r="I460" i="16"/>
  <c r="I458" i="16"/>
  <c r="I456" i="16"/>
  <c r="I454" i="16"/>
  <c r="I452" i="16"/>
  <c r="I450" i="16"/>
  <c r="I440" i="16"/>
  <c r="I436" i="16"/>
  <c r="I434" i="16"/>
  <c r="I428" i="16"/>
  <c r="I427" i="16"/>
  <c r="I425" i="16"/>
  <c r="I424" i="16"/>
  <c r="I414" i="16"/>
  <c r="I407" i="16"/>
  <c r="I393" i="16"/>
  <c r="I391" i="16"/>
  <c r="I387" i="16"/>
  <c r="I385" i="16"/>
  <c r="I373" i="16"/>
  <c r="I370" i="16"/>
  <c r="I368" i="16"/>
  <c r="I356" i="16"/>
  <c r="I348" i="16"/>
  <c r="I342" i="16"/>
  <c r="I335" i="16"/>
  <c r="I328" i="16"/>
  <c r="I324" i="16"/>
  <c r="I321" i="16"/>
  <c r="I318" i="16"/>
  <c r="I312" i="16"/>
  <c r="I290" i="16"/>
  <c r="I283" i="16"/>
  <c r="I276" i="16"/>
  <c r="I272" i="16"/>
  <c r="I270" i="16"/>
  <c r="I266" i="16"/>
  <c r="I264" i="16"/>
  <c r="I260" i="16"/>
  <c r="I258" i="16"/>
  <c r="I239" i="16"/>
  <c r="I228" i="16"/>
  <c r="I224" i="16"/>
  <c r="I222" i="16"/>
  <c r="I219" i="16"/>
  <c r="I204" i="16"/>
  <c r="I193" i="16"/>
  <c r="I186" i="16"/>
  <c r="I175" i="16"/>
  <c r="I173" i="16"/>
  <c r="I170" i="16"/>
  <c r="I168" i="16"/>
  <c r="I162" i="16"/>
  <c r="I160" i="16"/>
  <c r="I158" i="16"/>
  <c r="I156" i="16"/>
  <c r="I154" i="16"/>
  <c r="I152" i="16"/>
  <c r="I122" i="16"/>
  <c r="I121" i="16"/>
  <c r="I119" i="16"/>
  <c r="I100" i="16"/>
  <c r="I96" i="16"/>
  <c r="I94" i="16"/>
  <c r="I92" i="16"/>
  <c r="I88" i="16"/>
  <c r="I85" i="16"/>
  <c r="I81" i="16"/>
  <c r="I72" i="16"/>
  <c r="I69" i="16"/>
  <c r="I64" i="16"/>
  <c r="I62" i="16"/>
  <c r="I52" i="16"/>
  <c r="I50" i="16"/>
  <c r="I38" i="16"/>
  <c r="I37" i="16"/>
  <c r="I35" i="16"/>
  <c r="I27" i="16"/>
  <c r="I18" i="16"/>
  <c r="I16" i="16"/>
  <c r="G15" i="16" l="1"/>
  <c r="G14" i="16" s="1"/>
  <c r="H15" i="16"/>
  <c r="G17" i="16"/>
  <c r="H17" i="16"/>
  <c r="H25" i="16"/>
  <c r="G26" i="16"/>
  <c r="G33" i="16"/>
  <c r="G34" i="16"/>
  <c r="G36" i="16"/>
  <c r="H36" i="16"/>
  <c r="H43" i="16"/>
  <c r="G44" i="16"/>
  <c r="H49" i="16"/>
  <c r="G49" i="16"/>
  <c r="G51" i="16"/>
  <c r="H51" i="16"/>
  <c r="G58" i="16"/>
  <c r="H57" i="16"/>
  <c r="G61" i="16"/>
  <c r="H61" i="16"/>
  <c r="G63" i="16"/>
  <c r="H63" i="16"/>
  <c r="G67" i="16"/>
  <c r="H67" i="16"/>
  <c r="G68" i="16"/>
  <c r="H68" i="16"/>
  <c r="G70" i="16"/>
  <c r="H70" i="16"/>
  <c r="G71" i="16"/>
  <c r="H71" i="16"/>
  <c r="G76" i="16"/>
  <c r="H75" i="16"/>
  <c r="H74" i="16" s="1"/>
  <c r="G80" i="16"/>
  <c r="H80" i="16"/>
  <c r="G83" i="16"/>
  <c r="H82" i="16"/>
  <c r="G86" i="16"/>
  <c r="H84" i="16"/>
  <c r="G89" i="16"/>
  <c r="H87" i="16"/>
  <c r="G91" i="16"/>
  <c r="H90" i="16"/>
  <c r="G93" i="16"/>
  <c r="H93" i="16"/>
  <c r="G95" i="16"/>
  <c r="H95" i="16"/>
  <c r="G98" i="16"/>
  <c r="H97" i="16"/>
  <c r="G101" i="16"/>
  <c r="H99" i="16"/>
  <c r="G103" i="16"/>
  <c r="H102" i="16"/>
  <c r="G110" i="16"/>
  <c r="H109" i="16"/>
  <c r="G117" i="16"/>
  <c r="H116" i="16"/>
  <c r="G118" i="16"/>
  <c r="H118" i="16"/>
  <c r="G120" i="16"/>
  <c r="H120" i="16"/>
  <c r="G129" i="16"/>
  <c r="H128" i="16"/>
  <c r="G134" i="16"/>
  <c r="H133" i="16"/>
  <c r="G136" i="16"/>
  <c r="H135" i="16"/>
  <c r="G141" i="16"/>
  <c r="H140" i="16"/>
  <c r="G146" i="16"/>
  <c r="H146" i="16"/>
  <c r="G151" i="16"/>
  <c r="H151" i="16"/>
  <c r="G153" i="16"/>
  <c r="H153" i="16"/>
  <c r="G155" i="16"/>
  <c r="H155" i="16"/>
  <c r="G157" i="16"/>
  <c r="H157" i="16"/>
  <c r="G159" i="16"/>
  <c r="H159" i="16"/>
  <c r="G161" i="16"/>
  <c r="H161" i="16"/>
  <c r="G167" i="16"/>
  <c r="H167" i="16"/>
  <c r="G169" i="16"/>
  <c r="H169" i="16"/>
  <c r="G172" i="16"/>
  <c r="H172" i="16"/>
  <c r="G174" i="16"/>
  <c r="H174" i="16"/>
  <c r="G180" i="16"/>
  <c r="H180" i="16"/>
  <c r="G185" i="16"/>
  <c r="G184" i="16" s="1"/>
  <c r="G183" i="16" s="1"/>
  <c r="G182" i="16" s="1"/>
  <c r="G181" i="16" s="1"/>
  <c r="H185" i="16"/>
  <c r="G192" i="16"/>
  <c r="G191" i="16" s="1"/>
  <c r="G190" i="16" s="1"/>
  <c r="H192" i="16"/>
  <c r="G197" i="16"/>
  <c r="G198" i="16"/>
  <c r="H196" i="16"/>
  <c r="G202" i="16"/>
  <c r="G203" i="16"/>
  <c r="H203" i="16"/>
  <c r="H208" i="16"/>
  <c r="G211" i="16"/>
  <c r="H210" i="16"/>
  <c r="G217" i="16"/>
  <c r="H217" i="16"/>
  <c r="G218" i="16"/>
  <c r="H218" i="16"/>
  <c r="G221" i="16"/>
  <c r="H221" i="16"/>
  <c r="G223" i="16"/>
  <c r="H223" i="16"/>
  <c r="G226" i="16"/>
  <c r="H225" i="16"/>
  <c r="G227" i="16"/>
  <c r="H227" i="16"/>
  <c r="G230" i="16"/>
  <c r="H229" i="16"/>
  <c r="G233" i="16"/>
  <c r="H232" i="16"/>
  <c r="G236" i="16"/>
  <c r="H235" i="16"/>
  <c r="G238" i="16"/>
  <c r="H238" i="16"/>
  <c r="H240" i="16"/>
  <c r="G241" i="16"/>
  <c r="G250" i="16"/>
  <c r="H250" i="16"/>
  <c r="G256" i="16"/>
  <c r="G255" i="16" s="1"/>
  <c r="H256" i="16"/>
  <c r="G257" i="16"/>
  <c r="H257" i="16"/>
  <c r="G259" i="16"/>
  <c r="H259" i="16"/>
  <c r="G262" i="16"/>
  <c r="H262" i="16"/>
  <c r="G263" i="16"/>
  <c r="H263" i="16"/>
  <c r="G265" i="16"/>
  <c r="H265" i="16"/>
  <c r="G269" i="16"/>
  <c r="H269" i="16"/>
  <c r="G271" i="16"/>
  <c r="H271" i="16"/>
  <c r="G275" i="16"/>
  <c r="H275" i="16"/>
  <c r="G278" i="16"/>
  <c r="G281" i="16"/>
  <c r="G282" i="16"/>
  <c r="H282" i="16"/>
  <c r="G285" i="16"/>
  <c r="G287" i="16"/>
  <c r="G289" i="16"/>
  <c r="H289" i="16"/>
  <c r="G292" i="16"/>
  <c r="G305" i="16"/>
  <c r="G311" i="16"/>
  <c r="G310" i="16" s="1"/>
  <c r="G309" i="16" s="1"/>
  <c r="G308" i="16" s="1"/>
  <c r="G307" i="16" s="1"/>
  <c r="H311" i="16"/>
  <c r="G317" i="16"/>
  <c r="G316" i="16" s="1"/>
  <c r="H317" i="16"/>
  <c r="G320" i="16"/>
  <c r="G319" i="16" s="1"/>
  <c r="H320" i="16"/>
  <c r="H319" i="16" s="1"/>
  <c r="G323" i="16"/>
  <c r="G322" i="16" s="1"/>
  <c r="H323" i="16"/>
  <c r="G329" i="16"/>
  <c r="G327" i="16" s="1"/>
  <c r="G326" i="16" s="1"/>
  <c r="G325" i="16" s="1"/>
  <c r="G334" i="16"/>
  <c r="G333" i="16" s="1"/>
  <c r="G332" i="16" s="1"/>
  <c r="G331" i="16" s="1"/>
  <c r="G330" i="16" s="1"/>
  <c r="H334" i="16"/>
  <c r="G341" i="16"/>
  <c r="G339" i="16" s="1"/>
  <c r="G338" i="16" s="1"/>
  <c r="G337" i="16" s="1"/>
  <c r="H341" i="16"/>
  <c r="G347" i="16"/>
  <c r="G349" i="16"/>
  <c r="I349" i="16" s="1"/>
  <c r="G354" i="16"/>
  <c r="G355" i="16"/>
  <c r="H355" i="16"/>
  <c r="G360" i="16"/>
  <c r="H360" i="16"/>
  <c r="G362" i="16"/>
  <c r="G367" i="16"/>
  <c r="H367" i="16"/>
  <c r="G369" i="16"/>
  <c r="H369" i="16"/>
  <c r="G372" i="16"/>
  <c r="H371" i="16"/>
  <c r="G377" i="16"/>
  <c r="G378" i="16"/>
  <c r="I378" i="16" s="1"/>
  <c r="G384" i="16"/>
  <c r="H384" i="16"/>
  <c r="G386" i="16"/>
  <c r="H386" i="16"/>
  <c r="G389" i="16"/>
  <c r="I389" i="16" s="1"/>
  <c r="G390" i="16"/>
  <c r="H390" i="16"/>
  <c r="G392" i="16"/>
  <c r="H392" i="16"/>
  <c r="G395" i="16"/>
  <c r="H395" i="16"/>
  <c r="G396" i="16"/>
  <c r="G397" i="16"/>
  <c r="H397" i="16"/>
  <c r="G400" i="16"/>
  <c r="H400" i="16"/>
  <c r="G405" i="16"/>
  <c r="H405" i="16"/>
  <c r="G406" i="16"/>
  <c r="G404" i="16" s="1"/>
  <c r="G403" i="16" s="1"/>
  <c r="G402" i="16" s="1"/>
  <c r="G401" i="16" s="1"/>
  <c r="H406" i="16"/>
  <c r="G413" i="16"/>
  <c r="H413" i="16"/>
  <c r="G422" i="16"/>
  <c r="G423" i="16"/>
  <c r="G426" i="16"/>
  <c r="H426" i="16"/>
  <c r="G432" i="16"/>
  <c r="G433" i="16"/>
  <c r="I433" i="16" s="1"/>
  <c r="G435" i="16"/>
  <c r="H435" i="16"/>
  <c r="G439" i="16"/>
  <c r="H439" i="16"/>
  <c r="H441" i="16"/>
  <c r="G442" i="16"/>
  <c r="I442" i="16" s="1"/>
  <c r="G443" i="16"/>
  <c r="H443" i="16"/>
  <c r="G444" i="16"/>
  <c r="I444" i="16" s="1"/>
  <c r="H445" i="16"/>
  <c r="G446" i="16"/>
  <c r="I446" i="16" s="1"/>
  <c r="H447" i="16"/>
  <c r="G448" i="16"/>
  <c r="I448" i="16" s="1"/>
  <c r="G449" i="16"/>
  <c r="H449" i="16"/>
  <c r="G451" i="16"/>
  <c r="H451" i="16"/>
  <c r="G453" i="16"/>
  <c r="H453" i="16"/>
  <c r="G455" i="16"/>
  <c r="H455" i="16"/>
  <c r="G457" i="16"/>
  <c r="H457" i="16"/>
  <c r="G459" i="16"/>
  <c r="H459" i="16"/>
  <c r="G462" i="16"/>
  <c r="H462" i="16"/>
  <c r="G464" i="16"/>
  <c r="H464" i="16"/>
  <c r="G471" i="16"/>
  <c r="G474" i="16"/>
  <c r="H474" i="16"/>
  <c r="G479" i="16"/>
  <c r="H479" i="16"/>
  <c r="G481" i="16"/>
  <c r="H481" i="16"/>
  <c r="G484" i="16"/>
  <c r="G492" i="16"/>
  <c r="G494" i="16"/>
  <c r="G496" i="16"/>
  <c r="G499" i="16"/>
  <c r="H499" i="16"/>
  <c r="H498" i="16" s="1"/>
  <c r="G502" i="16"/>
  <c r="H502" i="16"/>
  <c r="G504" i="16"/>
  <c r="H504" i="16"/>
  <c r="G510" i="16"/>
  <c r="H510" i="16"/>
  <c r="G512" i="16"/>
  <c r="G514" i="16"/>
  <c r="G516" i="16"/>
  <c r="G518" i="16"/>
  <c r="H518" i="16"/>
  <c r="G520" i="16"/>
  <c r="H520" i="16"/>
  <c r="G523" i="16"/>
  <c r="G526" i="16"/>
  <c r="G527" i="16"/>
  <c r="H527" i="16"/>
  <c r="G530" i="16"/>
  <c r="G531" i="16"/>
  <c r="H531" i="16"/>
  <c r="G534" i="16"/>
  <c r="H534" i="16"/>
  <c r="G537" i="16"/>
  <c r="H537" i="16"/>
  <c r="G539" i="16"/>
  <c r="H539" i="16"/>
  <c r="G543" i="16"/>
  <c r="G545" i="16"/>
  <c r="G547" i="16"/>
  <c r="G553" i="16"/>
  <c r="G558" i="16"/>
  <c r="H558" i="16"/>
  <c r="G561" i="16"/>
  <c r="H561" i="16"/>
  <c r="G564" i="16"/>
  <c r="G571" i="16"/>
  <c r="G582" i="16"/>
  <c r="G581" i="16" s="1"/>
  <c r="H582" i="16"/>
  <c r="G586" i="16"/>
  <c r="G585" i="16" s="1"/>
  <c r="G584" i="16" s="1"/>
  <c r="H586" i="16"/>
  <c r="H585" i="16" s="1"/>
  <c r="G593" i="16"/>
  <c r="G594" i="16"/>
  <c r="I594" i="16" s="1"/>
  <c r="G599" i="16"/>
  <c r="H599" i="16"/>
  <c r="G602" i="16"/>
  <c r="H602" i="16"/>
  <c r="G611" i="16"/>
  <c r="G612" i="16"/>
  <c r="G614" i="16"/>
  <c r="H614" i="16"/>
  <c r="G616" i="16"/>
  <c r="H616" i="16"/>
  <c r="G625" i="16"/>
  <c r="G441" i="16" l="1"/>
  <c r="G66" i="16"/>
  <c r="G65" i="16" s="1"/>
  <c r="G60" i="16"/>
  <c r="G59" i="16" s="1"/>
  <c r="I464" i="16"/>
  <c r="I481" i="16"/>
  <c r="I263" i="16"/>
  <c r="I462" i="16"/>
  <c r="I479" i="16"/>
  <c r="I218" i="16"/>
  <c r="G371" i="16"/>
  <c r="K371" i="16" s="1"/>
  <c r="K372" i="16"/>
  <c r="I372" i="16"/>
  <c r="I474" i="16"/>
  <c r="G48" i="16"/>
  <c r="G47" i="16" s="1"/>
  <c r="G46" i="16" s="1"/>
  <c r="G45" i="16" s="1"/>
  <c r="G166" i="16"/>
  <c r="G13" i="16"/>
  <c r="G12" i="16" s="1"/>
  <c r="G11" i="16" s="1"/>
  <c r="G10" i="16" s="1"/>
  <c r="G9" i="16" s="1"/>
  <c r="I616" i="16"/>
  <c r="K599" i="16"/>
  <c r="I599" i="16"/>
  <c r="H584" i="16"/>
  <c r="K585" i="16"/>
  <c r="I585" i="16"/>
  <c r="I586" i="16"/>
  <c r="K586" i="16"/>
  <c r="H581" i="16"/>
  <c r="H579" i="16" s="1"/>
  <c r="I582" i="16"/>
  <c r="K582" i="16"/>
  <c r="K561" i="16"/>
  <c r="I561" i="16"/>
  <c r="I558" i="16"/>
  <c r="K558" i="16"/>
  <c r="K531" i="16"/>
  <c r="I531" i="16"/>
  <c r="K527" i="16"/>
  <c r="I527" i="16"/>
  <c r="K520" i="16"/>
  <c r="I520" i="16"/>
  <c r="I518" i="16"/>
  <c r="K518" i="16"/>
  <c r="K459" i="16"/>
  <c r="I459" i="16"/>
  <c r="I457" i="16"/>
  <c r="K457" i="16"/>
  <c r="K455" i="16"/>
  <c r="I455" i="16"/>
  <c r="I453" i="16"/>
  <c r="K453" i="16"/>
  <c r="K451" i="16"/>
  <c r="I451" i="16"/>
  <c r="I449" i="16"/>
  <c r="K449" i="16"/>
  <c r="K439" i="16"/>
  <c r="I439" i="16"/>
  <c r="I435" i="16"/>
  <c r="K435" i="16"/>
  <c r="K426" i="16"/>
  <c r="I426" i="16"/>
  <c r="K405" i="16"/>
  <c r="I405" i="16"/>
  <c r="H404" i="16"/>
  <c r="I406" i="16"/>
  <c r="K406" i="16"/>
  <c r="I390" i="16"/>
  <c r="K390" i="16"/>
  <c r="K392" i="16"/>
  <c r="I392" i="16"/>
  <c r="I386" i="16"/>
  <c r="K386" i="16"/>
  <c r="K384" i="16"/>
  <c r="I384" i="16"/>
  <c r="K369" i="16"/>
  <c r="I369" i="16"/>
  <c r="H366" i="16"/>
  <c r="K367" i="16"/>
  <c r="I367" i="16"/>
  <c r="K355" i="16"/>
  <c r="I355" i="16"/>
  <c r="H340" i="16"/>
  <c r="I341" i="16"/>
  <c r="K341" i="16"/>
  <c r="H333" i="16"/>
  <c r="K334" i="16"/>
  <c r="I334" i="16"/>
  <c r="H327" i="16"/>
  <c r="K329" i="16"/>
  <c r="I329" i="16"/>
  <c r="H322" i="16"/>
  <c r="I323" i="16"/>
  <c r="K323" i="16"/>
  <c r="K319" i="16"/>
  <c r="I319" i="16"/>
  <c r="K320" i="16"/>
  <c r="I320" i="16"/>
  <c r="H316" i="16"/>
  <c r="K317" i="16"/>
  <c r="I317" i="16"/>
  <c r="H310" i="16"/>
  <c r="I311" i="16"/>
  <c r="K311" i="16"/>
  <c r="K289" i="16"/>
  <c r="I289" i="16"/>
  <c r="K282" i="16"/>
  <c r="I282" i="16"/>
  <c r="K275" i="16"/>
  <c r="I275" i="16"/>
  <c r="I269" i="16"/>
  <c r="K269" i="16"/>
  <c r="H268" i="16"/>
  <c r="K271" i="16"/>
  <c r="I271" i="16"/>
  <c r="H261" i="16"/>
  <c r="I265" i="16"/>
  <c r="K265" i="16"/>
  <c r="G261" i="16"/>
  <c r="K262" i="16"/>
  <c r="I262" i="16"/>
  <c r="K259" i="16"/>
  <c r="I259" i="16"/>
  <c r="H255" i="16"/>
  <c r="I256" i="16"/>
  <c r="K256" i="16"/>
  <c r="I257" i="16"/>
  <c r="K257" i="16"/>
  <c r="K593" i="16"/>
  <c r="H544" i="16"/>
  <c r="J545" i="16"/>
  <c r="K545" i="16"/>
  <c r="H529" i="16"/>
  <c r="K530" i="16"/>
  <c r="H497" i="16"/>
  <c r="K377" i="16"/>
  <c r="J377" i="16"/>
  <c r="G610" i="16"/>
  <c r="I612" i="16"/>
  <c r="G601" i="16"/>
  <c r="I602" i="16"/>
  <c r="G563" i="16"/>
  <c r="G557" i="16" s="1"/>
  <c r="I564" i="16"/>
  <c r="G546" i="16"/>
  <c r="I547" i="16"/>
  <c r="G542" i="16"/>
  <c r="I543" i="16"/>
  <c r="G536" i="16"/>
  <c r="G535" i="16" s="1"/>
  <c r="I537" i="16"/>
  <c r="G522" i="16"/>
  <c r="I523" i="16"/>
  <c r="G513" i="16"/>
  <c r="I514" i="16"/>
  <c r="J510" i="16"/>
  <c r="G503" i="16"/>
  <c r="I504" i="16"/>
  <c r="G498" i="16"/>
  <c r="I499" i="16"/>
  <c r="H493" i="16"/>
  <c r="K494" i="16"/>
  <c r="J494" i="16"/>
  <c r="K484" i="16"/>
  <c r="G421" i="16"/>
  <c r="I422" i="16"/>
  <c r="H399" i="16"/>
  <c r="H388" i="16"/>
  <c r="K389" i="16"/>
  <c r="H359" i="16"/>
  <c r="J360" i="16"/>
  <c r="K354" i="16"/>
  <c r="J354" i="16"/>
  <c r="G298" i="16"/>
  <c r="I299" i="16"/>
  <c r="G291" i="16"/>
  <c r="G288" i="16" s="1"/>
  <c r="I292" i="16"/>
  <c r="G286" i="16"/>
  <c r="I287" i="16"/>
  <c r="G277" i="16"/>
  <c r="I278" i="16"/>
  <c r="G251" i="16"/>
  <c r="I252" i="16"/>
  <c r="G235" i="16"/>
  <c r="G234" i="16" s="1"/>
  <c r="K236" i="16"/>
  <c r="I236" i="16"/>
  <c r="G229" i="16"/>
  <c r="K230" i="16"/>
  <c r="I230" i="16"/>
  <c r="G225" i="16"/>
  <c r="K225" i="16" s="1"/>
  <c r="K226" i="16"/>
  <c r="I226" i="16"/>
  <c r="G216" i="16"/>
  <c r="I217" i="16"/>
  <c r="G208" i="16"/>
  <c r="I208" i="16" s="1"/>
  <c r="K209" i="16"/>
  <c r="I209" i="16"/>
  <c r="G179" i="16"/>
  <c r="I180" i="16"/>
  <c r="G140" i="16"/>
  <c r="G139" i="16" s="1"/>
  <c r="G138" i="16" s="1"/>
  <c r="K141" i="16"/>
  <c r="I141" i="16"/>
  <c r="G133" i="16"/>
  <c r="K134" i="16"/>
  <c r="I134" i="16"/>
  <c r="G116" i="16"/>
  <c r="I116" i="16" s="1"/>
  <c r="K117" i="16"/>
  <c r="I117" i="16"/>
  <c r="G102" i="16"/>
  <c r="K103" i="16"/>
  <c r="I103" i="16"/>
  <c r="G97" i="16"/>
  <c r="I97" i="16" s="1"/>
  <c r="K98" i="16"/>
  <c r="I98" i="16"/>
  <c r="G87" i="16"/>
  <c r="K89" i="16"/>
  <c r="I89" i="16"/>
  <c r="G82" i="16"/>
  <c r="K82" i="16" s="1"/>
  <c r="K83" i="16"/>
  <c r="I83" i="16"/>
  <c r="G75" i="16"/>
  <c r="G74" i="16" s="1"/>
  <c r="G73" i="16" s="1"/>
  <c r="K76" i="16"/>
  <c r="I76" i="16"/>
  <c r="G43" i="16"/>
  <c r="G42" i="16" s="1"/>
  <c r="G41" i="16" s="1"/>
  <c r="G40" i="16" s="1"/>
  <c r="G39" i="16" s="1"/>
  <c r="K44" i="16"/>
  <c r="I44" i="16"/>
  <c r="K34" i="16"/>
  <c r="I34" i="16"/>
  <c r="K611" i="16"/>
  <c r="J611" i="16"/>
  <c r="H538" i="16"/>
  <c r="J539" i="16"/>
  <c r="K512" i="16"/>
  <c r="J512" i="16"/>
  <c r="H470" i="16"/>
  <c r="H468" i="16" s="1"/>
  <c r="K471" i="16"/>
  <c r="K443" i="16"/>
  <c r="H421" i="16"/>
  <c r="H419" i="16" s="1"/>
  <c r="K423" i="16"/>
  <c r="J423" i="16"/>
  <c r="G359" i="16"/>
  <c r="I360" i="16"/>
  <c r="G353" i="16"/>
  <c r="I354" i="16"/>
  <c r="G346" i="16"/>
  <c r="H296" i="16"/>
  <c r="K297" i="16"/>
  <c r="H284" i="16"/>
  <c r="K285" i="16"/>
  <c r="H280" i="16"/>
  <c r="K281" i="16"/>
  <c r="H249" i="16"/>
  <c r="K250" i="16"/>
  <c r="K198" i="16"/>
  <c r="I198" i="16"/>
  <c r="H145" i="16"/>
  <c r="K146" i="16"/>
  <c r="K33" i="16"/>
  <c r="I33" i="16"/>
  <c r="K614" i="16"/>
  <c r="H569" i="16"/>
  <c r="H567" i="16" s="1"/>
  <c r="K571" i="16"/>
  <c r="J571" i="16"/>
  <c r="H525" i="16"/>
  <c r="K526" i="16"/>
  <c r="H501" i="16"/>
  <c r="J502" i="16"/>
  <c r="G483" i="16"/>
  <c r="I484" i="16"/>
  <c r="H431" i="16"/>
  <c r="K432" i="16"/>
  <c r="K413" i="16"/>
  <c r="G399" i="16"/>
  <c r="I400" i="16"/>
  <c r="H394" i="16"/>
  <c r="J395" i="16"/>
  <c r="H361" i="16"/>
  <c r="K362" i="16"/>
  <c r="J362" i="16"/>
  <c r="G623" i="16"/>
  <c r="I625" i="16"/>
  <c r="I611" i="16"/>
  <c r="G569" i="16"/>
  <c r="G568" i="16" s="1"/>
  <c r="I571" i="16"/>
  <c r="G544" i="16"/>
  <c r="I544" i="16" s="1"/>
  <c r="I545" i="16"/>
  <c r="G533" i="16"/>
  <c r="I534" i="16"/>
  <c r="G525" i="16"/>
  <c r="I526" i="16"/>
  <c r="G511" i="16"/>
  <c r="I512" i="16"/>
  <c r="G501" i="16"/>
  <c r="I502" i="16"/>
  <c r="H491" i="16"/>
  <c r="K492" i="16"/>
  <c r="J492" i="16"/>
  <c r="H483" i="16"/>
  <c r="G470" i="16"/>
  <c r="G469" i="16" s="1"/>
  <c r="I471" i="16"/>
  <c r="G447" i="16"/>
  <c r="I447" i="16" s="1"/>
  <c r="G445" i="16"/>
  <c r="I445" i="16" s="1"/>
  <c r="I443" i="16"/>
  <c r="I441" i="16"/>
  <c r="G431" i="16"/>
  <c r="I431" i="16" s="1"/>
  <c r="I432" i="16"/>
  <c r="I423" i="16"/>
  <c r="G412" i="16"/>
  <c r="I413" i="16"/>
  <c r="H396" i="16"/>
  <c r="I396" i="16" s="1"/>
  <c r="J397" i="16"/>
  <c r="I395" i="16"/>
  <c r="G388" i="16"/>
  <c r="I377" i="16"/>
  <c r="I362" i="16"/>
  <c r="H353" i="16"/>
  <c r="H352" i="16" s="1"/>
  <c r="G304" i="16"/>
  <c r="I305" i="16"/>
  <c r="G296" i="16"/>
  <c r="I297" i="16"/>
  <c r="G284" i="16"/>
  <c r="I285" i="16"/>
  <c r="G280" i="16"/>
  <c r="I281" i="16"/>
  <c r="G249" i="16"/>
  <c r="I249" i="16" s="1"/>
  <c r="I250" i="16"/>
  <c r="G232" i="16"/>
  <c r="G231" i="16" s="1"/>
  <c r="K233" i="16"/>
  <c r="I233" i="16"/>
  <c r="G210" i="16"/>
  <c r="I210" i="16" s="1"/>
  <c r="K211" i="16"/>
  <c r="I211" i="16"/>
  <c r="K197" i="16"/>
  <c r="I197" i="16"/>
  <c r="G145" i="16"/>
  <c r="I146" i="16"/>
  <c r="G135" i="16"/>
  <c r="K135" i="16" s="1"/>
  <c r="K136" i="16"/>
  <c r="I136" i="16"/>
  <c r="G128" i="16"/>
  <c r="G127" i="16" s="1"/>
  <c r="G126" i="16" s="1"/>
  <c r="G125" i="16" s="1"/>
  <c r="K129" i="16"/>
  <c r="I129" i="16"/>
  <c r="G109" i="16"/>
  <c r="G108" i="16" s="1"/>
  <c r="G107" i="16" s="1"/>
  <c r="K110" i="16"/>
  <c r="I110" i="16"/>
  <c r="G99" i="16"/>
  <c r="I99" i="16" s="1"/>
  <c r="K101" i="16"/>
  <c r="I101" i="16"/>
  <c r="G90" i="16"/>
  <c r="I90" i="16" s="1"/>
  <c r="K91" i="16"/>
  <c r="I91" i="16"/>
  <c r="G84" i="16"/>
  <c r="K84" i="16" s="1"/>
  <c r="K86" i="16"/>
  <c r="I86" i="16"/>
  <c r="K58" i="16"/>
  <c r="I58" i="16"/>
  <c r="G25" i="16"/>
  <c r="G24" i="16" s="1"/>
  <c r="G23" i="16" s="1"/>
  <c r="G22" i="16" s="1"/>
  <c r="G21" i="16" s="1"/>
  <c r="K26" i="16"/>
  <c r="I26" i="16"/>
  <c r="H623" i="16"/>
  <c r="J625" i="16"/>
  <c r="K625" i="16"/>
  <c r="H552" i="16"/>
  <c r="J553" i="16"/>
  <c r="K553" i="16"/>
  <c r="H533" i="16"/>
  <c r="J534" i="16"/>
  <c r="H515" i="16"/>
  <c r="K516" i="16"/>
  <c r="J516" i="16"/>
  <c r="G509" i="16"/>
  <c r="I510" i="16"/>
  <c r="G493" i="16"/>
  <c r="I494" i="16"/>
  <c r="K441" i="16"/>
  <c r="H304" i="16"/>
  <c r="K305" i="16"/>
  <c r="J305" i="16"/>
  <c r="I614" i="16"/>
  <c r="I593" i="16"/>
  <c r="G552" i="16"/>
  <c r="I553" i="16"/>
  <c r="G538" i="16"/>
  <c r="I538" i="16" s="1"/>
  <c r="I539" i="16"/>
  <c r="G529" i="16"/>
  <c r="I530" i="16"/>
  <c r="G515" i="16"/>
  <c r="I516" i="16"/>
  <c r="H509" i="16"/>
  <c r="H495" i="16"/>
  <c r="K496" i="16"/>
  <c r="J496" i="16"/>
  <c r="K616" i="16"/>
  <c r="H610" i="16"/>
  <c r="H609" i="16" s="1"/>
  <c r="K612" i="16"/>
  <c r="J612" i="16"/>
  <c r="H601" i="16"/>
  <c r="J602" i="16"/>
  <c r="J594" i="16"/>
  <c r="K594" i="16"/>
  <c r="H563" i="16"/>
  <c r="K564" i="16"/>
  <c r="J564" i="16"/>
  <c r="H546" i="16"/>
  <c r="K547" i="16"/>
  <c r="H542" i="16"/>
  <c r="K543" i="16"/>
  <c r="H536" i="16"/>
  <c r="H535" i="16" s="1"/>
  <c r="J537" i="16"/>
  <c r="H522" i="16"/>
  <c r="K523" i="16"/>
  <c r="J523" i="16"/>
  <c r="H513" i="16"/>
  <c r="K514" i="16"/>
  <c r="J514" i="16"/>
  <c r="H511" i="16"/>
  <c r="H503" i="16"/>
  <c r="J504" i="16"/>
  <c r="J499" i="16"/>
  <c r="G495" i="16"/>
  <c r="I496" i="16"/>
  <c r="G491" i="16"/>
  <c r="I492" i="16"/>
  <c r="K448" i="16"/>
  <c r="J448" i="16"/>
  <c r="K446" i="16"/>
  <c r="J446" i="16"/>
  <c r="K444" i="16"/>
  <c r="J444" i="16"/>
  <c r="K442" i="16"/>
  <c r="J442" i="16"/>
  <c r="K433" i="16"/>
  <c r="J433" i="16"/>
  <c r="K422" i="16"/>
  <c r="H412" i="16"/>
  <c r="I397" i="16"/>
  <c r="G394" i="16"/>
  <c r="I394" i="16" s="1"/>
  <c r="K378" i="16"/>
  <c r="J378" i="16"/>
  <c r="G361" i="16"/>
  <c r="H347" i="16"/>
  <c r="K349" i="16"/>
  <c r="J349" i="16"/>
  <c r="H298" i="16"/>
  <c r="H295" i="16" s="1"/>
  <c r="K299" i="16"/>
  <c r="H291" i="16"/>
  <c r="K292" i="16"/>
  <c r="J292" i="16"/>
  <c r="H286" i="16"/>
  <c r="K287" i="16"/>
  <c r="J287" i="16"/>
  <c r="H277" i="16"/>
  <c r="K278" i="16"/>
  <c r="J278" i="16"/>
  <c r="H251" i="16"/>
  <c r="K252" i="16"/>
  <c r="G240" i="16"/>
  <c r="K241" i="16"/>
  <c r="I241" i="16"/>
  <c r="H216" i="16"/>
  <c r="H215" i="16" s="1"/>
  <c r="G201" i="16"/>
  <c r="G200" i="16" s="1"/>
  <c r="G199" i="16" s="1"/>
  <c r="K202" i="16"/>
  <c r="I202" i="16"/>
  <c r="H179" i="16"/>
  <c r="K180" i="16"/>
  <c r="G57" i="16"/>
  <c r="G56" i="16" s="1"/>
  <c r="G55" i="16" s="1"/>
  <c r="G54" i="16" s="1"/>
  <c r="H237" i="16"/>
  <c r="K240" i="16"/>
  <c r="I240" i="16"/>
  <c r="I238" i="16"/>
  <c r="K238" i="16"/>
  <c r="H234" i="16"/>
  <c r="H231" i="16"/>
  <c r="I232" i="16"/>
  <c r="K229" i="16"/>
  <c r="I229" i="16"/>
  <c r="K227" i="16"/>
  <c r="I227" i="16"/>
  <c r="I225" i="16"/>
  <c r="K223" i="16"/>
  <c r="I223" i="16"/>
  <c r="K221" i="16"/>
  <c r="I221" i="16"/>
  <c r="K208" i="16"/>
  <c r="K203" i="16"/>
  <c r="I203" i="16"/>
  <c r="H195" i="16"/>
  <c r="H191" i="16"/>
  <c r="K192" i="16"/>
  <c r="I192" i="16"/>
  <c r="H184" i="16"/>
  <c r="K185" i="16"/>
  <c r="I185" i="16"/>
  <c r="K169" i="16"/>
  <c r="I169" i="16"/>
  <c r="I167" i="16"/>
  <c r="K167" i="16"/>
  <c r="K174" i="16"/>
  <c r="I174" i="16"/>
  <c r="K172" i="16"/>
  <c r="I172" i="16"/>
  <c r="K161" i="16"/>
  <c r="I161" i="16"/>
  <c r="K159" i="16"/>
  <c r="I159" i="16"/>
  <c r="I157" i="16"/>
  <c r="K157" i="16"/>
  <c r="K155" i="16"/>
  <c r="I155" i="16"/>
  <c r="K151" i="16"/>
  <c r="I151" i="16"/>
  <c r="I153" i="16"/>
  <c r="K153" i="16"/>
  <c r="H139" i="16"/>
  <c r="H132" i="16"/>
  <c r="H131" i="16" s="1"/>
  <c r="I135" i="16"/>
  <c r="K133" i="16"/>
  <c r="I133" i="16"/>
  <c r="H127" i="16"/>
  <c r="I120" i="16"/>
  <c r="K120" i="16"/>
  <c r="K118" i="16"/>
  <c r="I118" i="16"/>
  <c r="H108" i="16"/>
  <c r="K109" i="16"/>
  <c r="I109" i="16"/>
  <c r="K102" i="16"/>
  <c r="I102" i="16"/>
  <c r="I87" i="16"/>
  <c r="K87" i="16"/>
  <c r="K93" i="16"/>
  <c r="I93" i="16"/>
  <c r="K90" i="16"/>
  <c r="K95" i="16"/>
  <c r="I95" i="16"/>
  <c r="I80" i="16"/>
  <c r="K80" i="16"/>
  <c r="H73" i="16"/>
  <c r="K74" i="16"/>
  <c r="I74" i="16"/>
  <c r="K75" i="16"/>
  <c r="I75" i="16"/>
  <c r="K70" i="16"/>
  <c r="I70" i="16"/>
  <c r="K71" i="16"/>
  <c r="I71" i="16"/>
  <c r="K67" i="16"/>
  <c r="I67" i="16"/>
  <c r="K68" i="16"/>
  <c r="I68" i="16"/>
  <c r="K63" i="16"/>
  <c r="I63" i="16"/>
  <c r="K61" i="16"/>
  <c r="I61" i="16"/>
  <c r="H56" i="16"/>
  <c r="K57" i="16"/>
  <c r="I57" i="16"/>
  <c r="K51" i="16"/>
  <c r="I51" i="16"/>
  <c r="K49" i="16"/>
  <c r="I49" i="16"/>
  <c r="H42" i="16"/>
  <c r="I36" i="16"/>
  <c r="K36" i="16"/>
  <c r="H24" i="16"/>
  <c r="K25" i="16"/>
  <c r="I25" i="16"/>
  <c r="H14" i="16"/>
  <c r="K15" i="16"/>
  <c r="I15" i="16"/>
  <c r="K17" i="16"/>
  <c r="I17" i="16"/>
  <c r="H592" i="16"/>
  <c r="H557" i="16"/>
  <c r="H478" i="16"/>
  <c r="G376" i="16"/>
  <c r="G366" i="16"/>
  <c r="G365" i="16" s="1"/>
  <c r="G364" i="16" s="1"/>
  <c r="G340" i="16"/>
  <c r="G592" i="16"/>
  <c r="H517" i="16"/>
  <c r="G478" i="16"/>
  <c r="H461" i="16"/>
  <c r="H376" i="16"/>
  <c r="G352" i="16"/>
  <c r="H339" i="16"/>
  <c r="H200" i="16"/>
  <c r="G196" i="16"/>
  <c r="G195" i="16" s="1"/>
  <c r="G194" i="16" s="1"/>
  <c r="H171" i="16"/>
  <c r="H166" i="16"/>
  <c r="G132" i="16"/>
  <c r="G131" i="16" s="1"/>
  <c r="G130" i="16" s="1"/>
  <c r="H48" i="16"/>
  <c r="G461" i="16"/>
  <c r="H315" i="16"/>
  <c r="G171" i="16"/>
  <c r="G165" i="16" s="1"/>
  <c r="G164" i="16" s="1"/>
  <c r="H66" i="16"/>
  <c r="H60" i="16"/>
  <c r="G32" i="16"/>
  <c r="G31" i="16" s="1"/>
  <c r="G30" i="16" s="1"/>
  <c r="G29" i="16" s="1"/>
  <c r="G28" i="16" s="1"/>
  <c r="H438" i="16"/>
  <c r="H383" i="16"/>
  <c r="G268" i="16"/>
  <c r="G267" i="16" s="1"/>
  <c r="G215" i="16"/>
  <c r="H32" i="16"/>
  <c r="G609" i="16"/>
  <c r="G150" i="16"/>
  <c r="G149" i="16" s="1"/>
  <c r="G148" i="16" s="1"/>
  <c r="G147" i="16" s="1"/>
  <c r="G580" i="16"/>
  <c r="G579" i="16"/>
  <c r="G578" i="16" s="1"/>
  <c r="G577" i="16" s="1"/>
  <c r="H430" i="16"/>
  <c r="H429" i="16"/>
  <c r="G517" i="16"/>
  <c r="G419" i="16"/>
  <c r="G383" i="16"/>
  <c r="H115" i="16"/>
  <c r="H207" i="16"/>
  <c r="H220" i="16"/>
  <c r="H150" i="16"/>
  <c r="G106" i="16"/>
  <c r="G105" i="16"/>
  <c r="G104" i="16" s="1"/>
  <c r="G315" i="16"/>
  <c r="G314" i="16" s="1"/>
  <c r="G313" i="16" s="1"/>
  <c r="G306" i="16" s="1"/>
  <c r="G237" i="16"/>
  <c r="H79" i="16"/>
  <c r="I371" i="16" l="1"/>
  <c r="H580" i="16"/>
  <c r="I580" i="16" s="1"/>
  <c r="I515" i="16"/>
  <c r="I82" i="16"/>
  <c r="K116" i="16"/>
  <c r="G524" i="16"/>
  <c r="G500" i="16"/>
  <c r="H165" i="16"/>
  <c r="H469" i="16"/>
  <c r="G124" i="16"/>
  <c r="G430" i="16"/>
  <c r="I430" i="16" s="1"/>
  <c r="G429" i="16"/>
  <c r="I140" i="16"/>
  <c r="I235" i="16"/>
  <c r="I296" i="16"/>
  <c r="G438" i="16"/>
  <c r="G437" i="16" s="1"/>
  <c r="I43" i="16"/>
  <c r="K97" i="16"/>
  <c r="I84" i="16"/>
  <c r="I128" i="16"/>
  <c r="K140" i="16"/>
  <c r="K235" i="16"/>
  <c r="I529" i="16"/>
  <c r="I493" i="16"/>
  <c r="G508" i="16"/>
  <c r="H279" i="16"/>
  <c r="G279" i="16"/>
  <c r="G295" i="16"/>
  <c r="G294" i="16" s="1"/>
  <c r="G541" i="16"/>
  <c r="K43" i="16"/>
  <c r="K128" i="16"/>
  <c r="G220" i="16"/>
  <c r="K220" i="16" s="1"/>
  <c r="K99" i="16"/>
  <c r="K210" i="16"/>
  <c r="I491" i="16"/>
  <c r="G214" i="16"/>
  <c r="G213" i="16" s="1"/>
  <c r="G115" i="16"/>
  <c r="G114" i="16" s="1"/>
  <c r="G113" i="16" s="1"/>
  <c r="G112" i="16" s="1"/>
  <c r="G111" i="16" s="1"/>
  <c r="G79" i="16"/>
  <c r="G78" i="16" s="1"/>
  <c r="G189" i="16"/>
  <c r="I429" i="16"/>
  <c r="G490" i="16"/>
  <c r="H508" i="16"/>
  <c r="I508" i="16" s="1"/>
  <c r="I280" i="16"/>
  <c r="I461" i="16"/>
  <c r="H437" i="16"/>
  <c r="I215" i="16"/>
  <c r="I535" i="16"/>
  <c r="H490" i="16"/>
  <c r="G207" i="16"/>
  <c r="G206" i="16" s="1"/>
  <c r="G205" i="16" s="1"/>
  <c r="K584" i="16"/>
  <c r="I584" i="16"/>
  <c r="H578" i="16"/>
  <c r="K579" i="16"/>
  <c r="I579" i="16"/>
  <c r="K580" i="16"/>
  <c r="I581" i="16"/>
  <c r="K581" i="16"/>
  <c r="I525" i="16"/>
  <c r="I495" i="16"/>
  <c r="H420" i="16"/>
  <c r="H403" i="16"/>
  <c r="K404" i="16"/>
  <c r="I404" i="16"/>
  <c r="I388" i="16"/>
  <c r="H365" i="16"/>
  <c r="K366" i="16"/>
  <c r="I366" i="16"/>
  <c r="I361" i="16"/>
  <c r="I353" i="16"/>
  <c r="H338" i="16"/>
  <c r="K339" i="16"/>
  <c r="I339" i="16"/>
  <c r="I340" i="16"/>
  <c r="K340" i="16"/>
  <c r="H332" i="16"/>
  <c r="K333" i="16"/>
  <c r="I333" i="16"/>
  <c r="H326" i="16"/>
  <c r="K327" i="16"/>
  <c r="I327" i="16"/>
  <c r="K322" i="16"/>
  <c r="I322" i="16"/>
  <c r="K315" i="16"/>
  <c r="I315" i="16"/>
  <c r="I316" i="16"/>
  <c r="K316" i="16"/>
  <c r="H309" i="16"/>
  <c r="K310" i="16"/>
  <c r="I310" i="16"/>
  <c r="I284" i="16"/>
  <c r="H267" i="16"/>
  <c r="K268" i="16"/>
  <c r="I268" i="16"/>
  <c r="I261" i="16"/>
  <c r="K261" i="16"/>
  <c r="K255" i="16"/>
  <c r="I255" i="16"/>
  <c r="H351" i="16"/>
  <c r="K352" i="16"/>
  <c r="H608" i="16"/>
  <c r="K609" i="16"/>
  <c r="I517" i="16"/>
  <c r="K490" i="16"/>
  <c r="G608" i="16"/>
  <c r="I609" i="16"/>
  <c r="G591" i="16"/>
  <c r="I592" i="16"/>
  <c r="G375" i="16"/>
  <c r="I376" i="16"/>
  <c r="H477" i="16"/>
  <c r="K478" i="16"/>
  <c r="H556" i="16"/>
  <c r="K557" i="16"/>
  <c r="K132" i="16"/>
  <c r="I196" i="16"/>
  <c r="K286" i="16"/>
  <c r="H500" i="16"/>
  <c r="K513" i="16"/>
  <c r="K546" i="16"/>
  <c r="H598" i="16"/>
  <c r="K601" i="16"/>
  <c r="K495" i="16"/>
  <c r="I509" i="16"/>
  <c r="H622" i="16"/>
  <c r="K623" i="16"/>
  <c r="K353" i="16"/>
  <c r="I501" i="16"/>
  <c r="K361" i="16"/>
  <c r="K445" i="16"/>
  <c r="H524" i="16"/>
  <c r="K525" i="16"/>
  <c r="K249" i="16"/>
  <c r="K421" i="16"/>
  <c r="I216" i="16"/>
  <c r="H358" i="16"/>
  <c r="G497" i="16"/>
  <c r="I498" i="16"/>
  <c r="I522" i="16"/>
  <c r="I542" i="16"/>
  <c r="I563" i="16"/>
  <c r="I610" i="16"/>
  <c r="K447" i="16"/>
  <c r="G351" i="16"/>
  <c r="I352" i="16"/>
  <c r="K201" i="16"/>
  <c r="I201" i="16"/>
  <c r="H274" i="16"/>
  <c r="K277" i="16"/>
  <c r="H346" i="16"/>
  <c r="K347" i="16"/>
  <c r="K511" i="16"/>
  <c r="K542" i="16"/>
  <c r="G551" i="16"/>
  <c r="I552" i="16"/>
  <c r="H551" i="16"/>
  <c r="K552" i="16"/>
  <c r="G144" i="16"/>
  <c r="I145" i="16"/>
  <c r="G411" i="16"/>
  <c r="I412" i="16"/>
  <c r="G622" i="16"/>
  <c r="I623" i="16"/>
  <c r="G398" i="16"/>
  <c r="I399" i="16"/>
  <c r="K296" i="16"/>
  <c r="K470" i="16"/>
  <c r="G274" i="16"/>
  <c r="I277" i="16"/>
  <c r="I291" i="16"/>
  <c r="G420" i="16"/>
  <c r="I420" i="16" s="1"/>
  <c r="I421" i="16"/>
  <c r="H541" i="16"/>
  <c r="I541" i="16" s="1"/>
  <c r="K544" i="16"/>
  <c r="I383" i="16"/>
  <c r="K419" i="16"/>
  <c r="K469" i="16"/>
  <c r="H375" i="16"/>
  <c r="K376" i="16"/>
  <c r="K517" i="16"/>
  <c r="G540" i="16"/>
  <c r="K196" i="16"/>
  <c r="K232" i="16"/>
  <c r="I237" i="16"/>
  <c r="H178" i="16"/>
  <c r="K179" i="16"/>
  <c r="H248" i="16"/>
  <c r="K251" i="16"/>
  <c r="K298" i="16"/>
  <c r="H303" i="16"/>
  <c r="K304" i="16"/>
  <c r="G468" i="16"/>
  <c r="I470" i="16"/>
  <c r="K491" i="16"/>
  <c r="I511" i="16"/>
  <c r="I533" i="16"/>
  <c r="G567" i="16"/>
  <c r="I569" i="16"/>
  <c r="K431" i="16"/>
  <c r="I483" i="16"/>
  <c r="K284" i="16"/>
  <c r="I347" i="16"/>
  <c r="K493" i="16"/>
  <c r="I503" i="16"/>
  <c r="I513" i="16"/>
  <c r="I536" i="16"/>
  <c r="I546" i="16"/>
  <c r="G598" i="16"/>
  <c r="I601" i="16"/>
  <c r="K529" i="16"/>
  <c r="K383" i="16"/>
  <c r="G477" i="16"/>
  <c r="I478" i="16"/>
  <c r="H591" i="16"/>
  <c r="K592" i="16"/>
  <c r="H294" i="16"/>
  <c r="K567" i="16"/>
  <c r="I419" i="16"/>
  <c r="H467" i="16"/>
  <c r="G556" i="16"/>
  <c r="I557" i="16"/>
  <c r="I469" i="16"/>
  <c r="H288" i="16"/>
  <c r="K291" i="16"/>
  <c r="H411" i="16"/>
  <c r="K412" i="16"/>
  <c r="K522" i="16"/>
  <c r="K563" i="16"/>
  <c r="K610" i="16"/>
  <c r="K515" i="16"/>
  <c r="G303" i="16"/>
  <c r="I304" i="16"/>
  <c r="K483" i="16"/>
  <c r="H568" i="16"/>
  <c r="I568" i="16" s="1"/>
  <c r="K569" i="16"/>
  <c r="H144" i="16"/>
  <c r="K145" i="16"/>
  <c r="K280" i="16"/>
  <c r="G345" i="16"/>
  <c r="I346" i="16"/>
  <c r="G358" i="16"/>
  <c r="I359" i="16"/>
  <c r="G178" i="16"/>
  <c r="I179" i="16"/>
  <c r="G248" i="16"/>
  <c r="I251" i="16"/>
  <c r="I286" i="16"/>
  <c r="I298" i="16"/>
  <c r="K388" i="16"/>
  <c r="H398" i="16"/>
  <c r="K237" i="16"/>
  <c r="I234" i="16"/>
  <c r="K234" i="16"/>
  <c r="K231" i="16"/>
  <c r="I231" i="16"/>
  <c r="H214" i="16"/>
  <c r="H213" i="16" s="1"/>
  <c r="H206" i="16"/>
  <c r="H199" i="16"/>
  <c r="K200" i="16"/>
  <c r="I200" i="16"/>
  <c r="H194" i="16"/>
  <c r="I195" i="16"/>
  <c r="K195" i="16"/>
  <c r="H190" i="16"/>
  <c r="I191" i="16"/>
  <c r="K191" i="16"/>
  <c r="H183" i="16"/>
  <c r="K184" i="16"/>
  <c r="I184" i="16"/>
  <c r="I166" i="16"/>
  <c r="K166" i="16"/>
  <c r="H164" i="16"/>
  <c r="K165" i="16"/>
  <c r="I165" i="16"/>
  <c r="K171" i="16"/>
  <c r="I171" i="16"/>
  <c r="H149" i="16"/>
  <c r="K150" i="16"/>
  <c r="I150" i="16"/>
  <c r="H138" i="16"/>
  <c r="I139" i="16"/>
  <c r="K139" i="16"/>
  <c r="I132" i="16"/>
  <c r="H130" i="16"/>
  <c r="K131" i="16"/>
  <c r="I131" i="16"/>
  <c r="H126" i="16"/>
  <c r="K127" i="16"/>
  <c r="I127" i="16"/>
  <c r="H114" i="16"/>
  <c r="K115" i="16"/>
  <c r="I115" i="16"/>
  <c r="H107" i="16"/>
  <c r="K108" i="16"/>
  <c r="I108" i="16"/>
  <c r="H78" i="16"/>
  <c r="I73" i="16"/>
  <c r="K73" i="16"/>
  <c r="H65" i="16"/>
  <c r="K66" i="16"/>
  <c r="I66" i="16"/>
  <c r="H59" i="16"/>
  <c r="I60" i="16"/>
  <c r="K60" i="16"/>
  <c r="H55" i="16"/>
  <c r="I56" i="16"/>
  <c r="K56" i="16"/>
  <c r="H47" i="16"/>
  <c r="I48" i="16"/>
  <c r="K48" i="16"/>
  <c r="H41" i="16"/>
  <c r="K42" i="16"/>
  <c r="I42" i="16"/>
  <c r="H31" i="16"/>
  <c r="I32" i="16"/>
  <c r="K32" i="16"/>
  <c r="H23" i="16"/>
  <c r="I24" i="16"/>
  <c r="K24" i="16"/>
  <c r="H13" i="16"/>
  <c r="K14" i="16"/>
  <c r="I14" i="16"/>
  <c r="H566" i="16"/>
  <c r="H565" i="16"/>
  <c r="H418" i="16"/>
  <c r="G507" i="16" l="1"/>
  <c r="I490" i="16"/>
  <c r="I524" i="16"/>
  <c r="I79" i="16"/>
  <c r="I279" i="16"/>
  <c r="K430" i="16"/>
  <c r="K279" i="16"/>
  <c r="I500" i="16"/>
  <c r="K79" i="16"/>
  <c r="K508" i="16"/>
  <c r="K437" i="16"/>
  <c r="G418" i="16"/>
  <c r="K418" i="16" s="1"/>
  <c r="K295" i="16"/>
  <c r="I220" i="16"/>
  <c r="I295" i="16"/>
  <c r="K429" i="16"/>
  <c r="I437" i="16"/>
  <c r="G188" i="16"/>
  <c r="I213" i="16"/>
  <c r="I438" i="16"/>
  <c r="K438" i="16"/>
  <c r="K207" i="16"/>
  <c r="H507" i="16"/>
  <c r="I507" i="16" s="1"/>
  <c r="I207" i="16"/>
  <c r="H577" i="16"/>
  <c r="I578" i="16"/>
  <c r="K578" i="16"/>
  <c r="H402" i="16"/>
  <c r="K403" i="16"/>
  <c r="I403" i="16"/>
  <c r="H364" i="16"/>
  <c r="I365" i="16"/>
  <c r="K365" i="16"/>
  <c r="H337" i="16"/>
  <c r="I338" i="16"/>
  <c r="K338" i="16"/>
  <c r="H331" i="16"/>
  <c r="K332" i="16"/>
  <c r="I332" i="16"/>
  <c r="H325" i="16"/>
  <c r="K326" i="16"/>
  <c r="I326" i="16"/>
  <c r="H308" i="16"/>
  <c r="I309" i="16"/>
  <c r="K309" i="16"/>
  <c r="K267" i="16"/>
  <c r="I267" i="16"/>
  <c r="H417" i="16"/>
  <c r="G247" i="16"/>
  <c r="I248" i="16"/>
  <c r="G357" i="16"/>
  <c r="G350" i="16" s="1"/>
  <c r="I358" i="16"/>
  <c r="K288" i="16"/>
  <c r="I556" i="16"/>
  <c r="G554" i="16"/>
  <c r="G555" i="16"/>
  <c r="K420" i="16"/>
  <c r="G597" i="16"/>
  <c r="I598" i="16"/>
  <c r="I567" i="16"/>
  <c r="G565" i="16"/>
  <c r="I565" i="16" s="1"/>
  <c r="G566" i="16"/>
  <c r="I566" i="16" s="1"/>
  <c r="I274" i="16"/>
  <c r="G273" i="16"/>
  <c r="I398" i="16"/>
  <c r="G410" i="16"/>
  <c r="I411" i="16"/>
  <c r="H345" i="16"/>
  <c r="I345" i="16" s="1"/>
  <c r="K346" i="16"/>
  <c r="H476" i="16"/>
  <c r="K477" i="16"/>
  <c r="G590" i="16"/>
  <c r="I591" i="16"/>
  <c r="G506" i="16"/>
  <c r="H293" i="16"/>
  <c r="K294" i="16"/>
  <c r="H590" i="16"/>
  <c r="K591" i="16"/>
  <c r="H177" i="16"/>
  <c r="K178" i="16"/>
  <c r="H374" i="16"/>
  <c r="K375" i="16"/>
  <c r="H550" i="16"/>
  <c r="K551" i="16"/>
  <c r="H597" i="16"/>
  <c r="K598" i="16"/>
  <c r="K556" i="16"/>
  <c r="H555" i="16"/>
  <c r="H554" i="16"/>
  <c r="H410" i="16"/>
  <c r="K411" i="16"/>
  <c r="G177" i="16"/>
  <c r="I178" i="16"/>
  <c r="G344" i="16"/>
  <c r="K568" i="16"/>
  <c r="G302" i="16"/>
  <c r="I303" i="16"/>
  <c r="H382" i="16"/>
  <c r="G467" i="16"/>
  <c r="I468" i="16"/>
  <c r="H247" i="16"/>
  <c r="K248" i="16"/>
  <c r="G621" i="16"/>
  <c r="I622" i="16"/>
  <c r="G143" i="16"/>
  <c r="I144" i="16"/>
  <c r="H357" i="16"/>
  <c r="H350" i="16" s="1"/>
  <c r="K358" i="16"/>
  <c r="K524" i="16"/>
  <c r="G374" i="16"/>
  <c r="I375" i="16"/>
  <c r="G607" i="16"/>
  <c r="I608" i="16"/>
  <c r="H489" i="16"/>
  <c r="H143" i="16"/>
  <c r="K144" i="16"/>
  <c r="G293" i="16"/>
  <c r="I294" i="16"/>
  <c r="K468" i="16"/>
  <c r="G476" i="16"/>
  <c r="I477" i="16"/>
  <c r="H273" i="16"/>
  <c r="H302" i="16"/>
  <c r="K303" i="16"/>
  <c r="G382" i="16"/>
  <c r="I288" i="16"/>
  <c r="H540" i="16"/>
  <c r="K541" i="16"/>
  <c r="G550" i="16"/>
  <c r="I551" i="16"/>
  <c r="K274" i="16"/>
  <c r="I351" i="16"/>
  <c r="I497" i="16"/>
  <c r="G489" i="16"/>
  <c r="H621" i="16"/>
  <c r="K622" i="16"/>
  <c r="H607" i="16"/>
  <c r="K608" i="16"/>
  <c r="K351" i="16"/>
  <c r="K214" i="16"/>
  <c r="I214" i="16"/>
  <c r="H205" i="16"/>
  <c r="I206" i="16"/>
  <c r="K206" i="16"/>
  <c r="K199" i="16"/>
  <c r="I199" i="16"/>
  <c r="I194" i="16"/>
  <c r="K194" i="16"/>
  <c r="I190" i="16"/>
  <c r="K190" i="16"/>
  <c r="H189" i="16"/>
  <c r="H182" i="16"/>
  <c r="K183" i="16"/>
  <c r="I183" i="16"/>
  <c r="K164" i="16"/>
  <c r="I164" i="16"/>
  <c r="H148" i="16"/>
  <c r="I149" i="16"/>
  <c r="K149" i="16"/>
  <c r="I138" i="16"/>
  <c r="K138" i="16"/>
  <c r="I130" i="16"/>
  <c r="K130" i="16"/>
  <c r="H125" i="16"/>
  <c r="K126" i="16"/>
  <c r="I126" i="16"/>
  <c r="H113" i="16"/>
  <c r="I114" i="16"/>
  <c r="K114" i="16"/>
  <c r="K107" i="16"/>
  <c r="I107" i="16"/>
  <c r="H105" i="16"/>
  <c r="H106" i="16"/>
  <c r="H77" i="16"/>
  <c r="G77" i="16"/>
  <c r="K78" i="16"/>
  <c r="I78" i="16"/>
  <c r="K65" i="16"/>
  <c r="I65" i="16"/>
  <c r="K59" i="16"/>
  <c r="I59" i="16"/>
  <c r="I55" i="16"/>
  <c r="K55" i="16"/>
  <c r="H54" i="16"/>
  <c r="H46" i="16"/>
  <c r="K47" i="16"/>
  <c r="I47" i="16"/>
  <c r="H40" i="16"/>
  <c r="K41" i="16"/>
  <c r="I41" i="16"/>
  <c r="H30" i="16"/>
  <c r="K31" i="16"/>
  <c r="I31" i="16"/>
  <c r="H22" i="16"/>
  <c r="K23" i="16"/>
  <c r="I23" i="16"/>
  <c r="K13" i="16"/>
  <c r="I13" i="16"/>
  <c r="H12" i="16"/>
  <c r="F601" i="16"/>
  <c r="J601" i="16" s="1"/>
  <c r="F542" i="16"/>
  <c r="F546" i="16"/>
  <c r="I293" i="16" l="1"/>
  <c r="I418" i="16"/>
  <c r="G417" i="16"/>
  <c r="K417" i="16" s="1"/>
  <c r="H506" i="16"/>
  <c r="K506" i="16" s="1"/>
  <c r="K565" i="16"/>
  <c r="K507" i="16"/>
  <c r="K577" i="16"/>
  <c r="I577" i="16"/>
  <c r="I554" i="16"/>
  <c r="I476" i="16"/>
  <c r="H401" i="16"/>
  <c r="I402" i="16"/>
  <c r="K402" i="16"/>
  <c r="K364" i="16"/>
  <c r="I364" i="16"/>
  <c r="I350" i="16"/>
  <c r="I337" i="16"/>
  <c r="K337" i="16"/>
  <c r="H330" i="16"/>
  <c r="I331" i="16"/>
  <c r="K331" i="16"/>
  <c r="K325" i="16"/>
  <c r="I325" i="16"/>
  <c r="H314" i="16"/>
  <c r="H307" i="16"/>
  <c r="I308" i="16"/>
  <c r="K308" i="16"/>
  <c r="H620" i="16"/>
  <c r="K621" i="16"/>
  <c r="H381" i="16"/>
  <c r="K382" i="16"/>
  <c r="H505" i="16"/>
  <c r="K540" i="16"/>
  <c r="G142" i="16"/>
  <c r="I143" i="16"/>
  <c r="I467" i="16"/>
  <c r="G466" i="16"/>
  <c r="H596" i="16"/>
  <c r="K597" i="16"/>
  <c r="H589" i="16"/>
  <c r="K590" i="16"/>
  <c r="I555" i="16"/>
  <c r="G246" i="16"/>
  <c r="I247" i="16"/>
  <c r="I374" i="16"/>
  <c r="G363" i="16"/>
  <c r="H176" i="16"/>
  <c r="K177" i="16"/>
  <c r="G505" i="16"/>
  <c r="G596" i="16"/>
  <c r="I597" i="16"/>
  <c r="G549" i="16"/>
  <c r="I550" i="16"/>
  <c r="H488" i="16"/>
  <c r="K489" i="16"/>
  <c r="G176" i="16"/>
  <c r="I177" i="16"/>
  <c r="G409" i="16"/>
  <c r="I410" i="16"/>
  <c r="H606" i="16"/>
  <c r="K607" i="16"/>
  <c r="G488" i="16"/>
  <c r="I489" i="16"/>
  <c r="G381" i="16"/>
  <c r="I382" i="16"/>
  <c r="H254" i="16"/>
  <c r="K273" i="16"/>
  <c r="H142" i="16"/>
  <c r="K143" i="16"/>
  <c r="K357" i="16"/>
  <c r="G620" i="16"/>
  <c r="I621" i="16"/>
  <c r="H246" i="16"/>
  <c r="H212" i="16" s="1"/>
  <c r="K247" i="16"/>
  <c r="K554" i="16"/>
  <c r="K374" i="16"/>
  <c r="H363" i="16"/>
  <c r="K476" i="16"/>
  <c r="K467" i="16"/>
  <c r="I357" i="16"/>
  <c r="H301" i="16"/>
  <c r="K302" i="16"/>
  <c r="K350" i="16"/>
  <c r="K566" i="16"/>
  <c r="G606" i="16"/>
  <c r="I607" i="16"/>
  <c r="I540" i="16"/>
  <c r="G301" i="16"/>
  <c r="I302" i="16"/>
  <c r="G343" i="16"/>
  <c r="H409" i="16"/>
  <c r="K410" i="16"/>
  <c r="K555" i="16"/>
  <c r="H549" i="16"/>
  <c r="K550" i="16"/>
  <c r="K293" i="16"/>
  <c r="G589" i="16"/>
  <c r="I590" i="16"/>
  <c r="H344" i="16"/>
  <c r="H343" i="16" s="1"/>
  <c r="K345" i="16"/>
  <c r="G254" i="16"/>
  <c r="I273" i="16"/>
  <c r="H466" i="16"/>
  <c r="H416" i="16" s="1"/>
  <c r="K213" i="16"/>
  <c r="I205" i="16"/>
  <c r="K205" i="16"/>
  <c r="H188" i="16"/>
  <c r="I189" i="16"/>
  <c r="K189" i="16"/>
  <c r="H181" i="16"/>
  <c r="K182" i="16"/>
  <c r="I182" i="16"/>
  <c r="H147" i="16"/>
  <c r="K148" i="16"/>
  <c r="I148" i="16"/>
  <c r="K125" i="16"/>
  <c r="I125" i="16"/>
  <c r="H124" i="16"/>
  <c r="H112" i="16"/>
  <c r="K113" i="16"/>
  <c r="I113" i="16"/>
  <c r="H104" i="16"/>
  <c r="K105" i="16"/>
  <c r="I105" i="16"/>
  <c r="K106" i="16"/>
  <c r="I106" i="16"/>
  <c r="I77" i="16"/>
  <c r="K77" i="16"/>
  <c r="G53" i="16"/>
  <c r="G20" i="16" s="1"/>
  <c r="I54" i="16"/>
  <c r="K54" i="16"/>
  <c r="H53" i="16"/>
  <c r="H45" i="16"/>
  <c r="K46" i="16"/>
  <c r="I46" i="16"/>
  <c r="H39" i="16"/>
  <c r="K40" i="16"/>
  <c r="I40" i="16"/>
  <c r="H29" i="16"/>
  <c r="K30" i="16"/>
  <c r="I30" i="16"/>
  <c r="H21" i="16"/>
  <c r="K22" i="16"/>
  <c r="I22" i="16"/>
  <c r="I12" i="16"/>
  <c r="K12" i="16"/>
  <c r="H11" i="16"/>
  <c r="I417" i="16" l="1"/>
  <c r="G416" i="16"/>
  <c r="I506" i="16"/>
  <c r="I466" i="16"/>
  <c r="K401" i="16"/>
  <c r="I401" i="16"/>
  <c r="I344" i="16"/>
  <c r="K330" i="16"/>
  <c r="I330" i="16"/>
  <c r="H313" i="16"/>
  <c r="H306" i="16" s="1"/>
  <c r="K314" i="16"/>
  <c r="I314" i="16"/>
  <c r="I307" i="16"/>
  <c r="K307" i="16"/>
  <c r="K343" i="16"/>
  <c r="H336" i="16"/>
  <c r="G253" i="16"/>
  <c r="I254" i="16"/>
  <c r="I343" i="16"/>
  <c r="G336" i="16"/>
  <c r="K142" i="16"/>
  <c r="H137" i="16"/>
  <c r="G548" i="16"/>
  <c r="I549" i="16"/>
  <c r="I505" i="16"/>
  <c r="I363" i="16"/>
  <c r="H595" i="16"/>
  <c r="K596" i="16"/>
  <c r="I142" i="16"/>
  <c r="G137" i="16"/>
  <c r="H380" i="16"/>
  <c r="K381" i="16"/>
  <c r="H415" i="16"/>
  <c r="K416" i="16"/>
  <c r="H300" i="16"/>
  <c r="K301" i="16"/>
  <c r="G408" i="16"/>
  <c r="I409" i="16"/>
  <c r="G415" i="16"/>
  <c r="I416" i="16"/>
  <c r="H588" i="16"/>
  <c r="K589" i="16"/>
  <c r="K505" i="16"/>
  <c r="K466" i="16"/>
  <c r="H548" i="16"/>
  <c r="K549" i="16"/>
  <c r="G605" i="16"/>
  <c r="I606" i="16"/>
  <c r="K363" i="16"/>
  <c r="H605" i="16"/>
  <c r="K606" i="16"/>
  <c r="H487" i="16"/>
  <c r="K488" i="16"/>
  <c r="G595" i="16"/>
  <c r="I596" i="16"/>
  <c r="G588" i="16"/>
  <c r="I589" i="16"/>
  <c r="K246" i="16"/>
  <c r="G380" i="16"/>
  <c r="I381" i="16"/>
  <c r="K344" i="16"/>
  <c r="H408" i="16"/>
  <c r="K409" i="16"/>
  <c r="G300" i="16"/>
  <c r="I301" i="16"/>
  <c r="G619" i="16"/>
  <c r="I620" i="16"/>
  <c r="H253" i="16"/>
  <c r="K254" i="16"/>
  <c r="G487" i="16"/>
  <c r="I488" i="16"/>
  <c r="I176" i="16"/>
  <c r="G163" i="16"/>
  <c r="K176" i="16"/>
  <c r="H163" i="16"/>
  <c r="I246" i="16"/>
  <c r="G212" i="16"/>
  <c r="I212" i="16" s="1"/>
  <c r="H619" i="16"/>
  <c r="K620" i="16"/>
  <c r="K188" i="16"/>
  <c r="I188" i="16"/>
  <c r="K181" i="16"/>
  <c r="I181" i="16"/>
  <c r="K147" i="16"/>
  <c r="I147" i="16"/>
  <c r="K124" i="16"/>
  <c r="I124" i="16"/>
  <c r="H111" i="16"/>
  <c r="K112" i="16"/>
  <c r="I112" i="16"/>
  <c r="K104" i="16"/>
  <c r="I104" i="16"/>
  <c r="K53" i="16"/>
  <c r="I53" i="16"/>
  <c r="I45" i="16"/>
  <c r="K45" i="16"/>
  <c r="I39" i="16"/>
  <c r="K39" i="16"/>
  <c r="H28" i="16"/>
  <c r="H20" i="16" s="1"/>
  <c r="K29" i="16"/>
  <c r="I29" i="16"/>
  <c r="I21" i="16"/>
  <c r="K21" i="16"/>
  <c r="I11" i="16"/>
  <c r="H10" i="16"/>
  <c r="K11" i="16"/>
  <c r="F439" i="16"/>
  <c r="I300" i="16" l="1"/>
  <c r="I595" i="16"/>
  <c r="I548" i="16"/>
  <c r="I415" i="16"/>
  <c r="I313" i="16"/>
  <c r="K313" i="16"/>
  <c r="K306" i="16"/>
  <c r="I306" i="16"/>
  <c r="H187" i="16"/>
  <c r="K212" i="16"/>
  <c r="H618" i="16"/>
  <c r="K619" i="16"/>
  <c r="K163" i="16"/>
  <c r="K408" i="16"/>
  <c r="G379" i="16"/>
  <c r="I380" i="16"/>
  <c r="I588" i="16"/>
  <c r="G576" i="16"/>
  <c r="H604" i="16"/>
  <c r="K605" i="16"/>
  <c r="G604" i="16"/>
  <c r="I605" i="16"/>
  <c r="K415" i="16"/>
  <c r="I137" i="16"/>
  <c r="K595" i="16"/>
  <c r="I336" i="16"/>
  <c r="K253" i="16"/>
  <c r="K487" i="16"/>
  <c r="H486" i="16"/>
  <c r="K137" i="16"/>
  <c r="H123" i="16"/>
  <c r="G187" i="16"/>
  <c r="I487" i="16"/>
  <c r="G486" i="16"/>
  <c r="K588" i="16"/>
  <c r="H576" i="16"/>
  <c r="I408" i="16"/>
  <c r="K300" i="16"/>
  <c r="K336" i="16"/>
  <c r="G123" i="16"/>
  <c r="I163" i="16"/>
  <c r="G618" i="16"/>
  <c r="I619" i="16"/>
  <c r="K548" i="16"/>
  <c r="H379" i="16"/>
  <c r="K380" i="16"/>
  <c r="I253" i="16"/>
  <c r="K111" i="16"/>
  <c r="I111" i="16"/>
  <c r="K28" i="16"/>
  <c r="I28" i="16"/>
  <c r="I20" i="16"/>
  <c r="K20" i="16"/>
  <c r="I10" i="16"/>
  <c r="K10" i="16"/>
  <c r="H9" i="16"/>
  <c r="K123" i="16" l="1"/>
  <c r="I618" i="16"/>
  <c r="I604" i="16"/>
  <c r="I576" i="16"/>
  <c r="H19" i="16"/>
  <c r="K187" i="16"/>
  <c r="K379" i="16"/>
  <c r="K576" i="16"/>
  <c r="K604" i="16"/>
  <c r="I379" i="16"/>
  <c r="H485" i="16"/>
  <c r="K486" i="16"/>
  <c r="I187" i="16"/>
  <c r="G19" i="16"/>
  <c r="I123" i="16"/>
  <c r="G485" i="16"/>
  <c r="I486" i="16"/>
  <c r="K618" i="16"/>
  <c r="I9" i="16"/>
  <c r="F296" i="16"/>
  <c r="F249" i="16"/>
  <c r="F179" i="16"/>
  <c r="F145" i="16"/>
  <c r="F144" i="16" l="1"/>
  <c r="F178" i="16"/>
  <c r="G628" i="16"/>
  <c r="K19" i="16"/>
  <c r="K485" i="16"/>
  <c r="I19" i="16"/>
  <c r="I485" i="16"/>
  <c r="H628" i="16"/>
  <c r="F36" i="16"/>
  <c r="F256" i="16"/>
  <c r="F259" i="16"/>
  <c r="F257" i="16"/>
  <c r="F255" i="16" l="1"/>
  <c r="F177" i="16"/>
  <c r="K628" i="16"/>
  <c r="I628" i="16"/>
  <c r="F298" i="16"/>
  <c r="F275" i="16"/>
  <c r="F229" i="16"/>
  <c r="F210" i="16"/>
  <c r="F176" i="16" l="1"/>
  <c r="F295" i="16"/>
  <c r="F116" i="16"/>
  <c r="J116" i="16" s="1"/>
  <c r="F294" i="16" l="1"/>
  <c r="F311" i="16"/>
  <c r="F310" i="16" l="1"/>
  <c r="F293" i="16"/>
  <c r="F32" i="16"/>
  <c r="F221" i="16"/>
  <c r="J221" i="16" s="1"/>
  <c r="F223" i="16"/>
  <c r="J223" i="16" s="1"/>
  <c r="F225" i="16"/>
  <c r="J225" i="16" s="1"/>
  <c r="F227" i="16"/>
  <c r="J227" i="16" s="1"/>
  <c r="F31" i="16" l="1"/>
  <c r="J31" i="16" s="1"/>
  <c r="J32" i="16"/>
  <c r="F309" i="16"/>
  <c r="F220" i="16"/>
  <c r="J220" i="16" s="1"/>
  <c r="F308" i="16" l="1"/>
  <c r="F76" i="16"/>
  <c r="F400" i="16"/>
  <c r="F97" i="16"/>
  <c r="J97" i="16" s="1"/>
  <c r="F75" i="16" l="1"/>
  <c r="F74" i="16" s="1"/>
  <c r="J76" i="16"/>
  <c r="F307" i="16"/>
  <c r="F262" i="16"/>
  <c r="J75" i="16" l="1"/>
  <c r="F261" i="16"/>
  <c r="J261" i="16" s="1"/>
  <c r="J262" i="16"/>
  <c r="F73" i="16"/>
  <c r="J73" i="16" s="1"/>
  <c r="J74" i="16"/>
  <c r="F432" i="16" l="1"/>
  <c r="J432" i="16" s="1"/>
  <c r="F422" i="16"/>
  <c r="J422" i="16" s="1"/>
  <c r="F471" i="16"/>
  <c r="J471" i="16" s="1"/>
  <c r="F389" i="16" l="1"/>
  <c r="J389" i="16" s="1"/>
  <c r="F49" i="16"/>
  <c r="J49" i="16" s="1"/>
  <c r="F323" i="16" l="1"/>
  <c r="F317" i="16"/>
  <c r="J317" i="16" s="1"/>
  <c r="F322" i="16" l="1"/>
  <c r="J322" i="16" s="1"/>
  <c r="J323" i="16"/>
  <c r="F538" i="16"/>
  <c r="J538" i="16" s="1"/>
  <c r="F491" i="16" l="1"/>
  <c r="J491" i="16" s="1"/>
  <c r="F320" i="16" l="1"/>
  <c r="F319" i="16" l="1"/>
  <c r="J319" i="16" s="1"/>
  <c r="J320" i="16"/>
  <c r="F329" i="16"/>
  <c r="J329" i="16" s="1"/>
  <c r="F133" i="16"/>
  <c r="J133" i="16" s="1"/>
  <c r="F241" i="16"/>
  <c r="J241" i="16" s="1"/>
  <c r="F208" i="16"/>
  <c r="F203" i="16"/>
  <c r="J203" i="16" s="1"/>
  <c r="F192" i="16"/>
  <c r="F155" i="16"/>
  <c r="J155" i="16" s="1"/>
  <c r="F191" i="16" l="1"/>
  <c r="J192" i="16"/>
  <c r="F207" i="16"/>
  <c r="J207" i="16" s="1"/>
  <c r="J208" i="16"/>
  <c r="F327" i="16"/>
  <c r="F533" i="16"/>
  <c r="J533" i="16" s="1"/>
  <c r="F561" i="16"/>
  <c r="J561" i="16" s="1"/>
  <c r="F447" i="16"/>
  <c r="J447" i="16" s="1"/>
  <c r="F445" i="16"/>
  <c r="J445" i="16" s="1"/>
  <c r="F455" i="16"/>
  <c r="J455" i="16" s="1"/>
  <c r="F453" i="16"/>
  <c r="J453" i="16" s="1"/>
  <c r="F459" i="16"/>
  <c r="J459" i="16" s="1"/>
  <c r="F451" i="16"/>
  <c r="J451" i="16" s="1"/>
  <c r="F449" i="16"/>
  <c r="J449" i="16" s="1"/>
  <c r="F396" i="16"/>
  <c r="J396" i="16" s="1"/>
  <c r="F394" i="16"/>
  <c r="J394" i="16" s="1"/>
  <c r="F326" i="16" l="1"/>
  <c r="J327" i="16"/>
  <c r="F190" i="16"/>
  <c r="J190" i="16" s="1"/>
  <c r="J191" i="16"/>
  <c r="F347" i="16"/>
  <c r="J347" i="16" s="1"/>
  <c r="F93" i="16"/>
  <c r="J93" i="16" s="1"/>
  <c r="F159" i="16"/>
  <c r="J159" i="16" s="1"/>
  <c r="F157" i="16"/>
  <c r="J157" i="16" s="1"/>
  <c r="F61" i="16"/>
  <c r="J61" i="16" s="1"/>
  <c r="F426" i="16"/>
  <c r="J426" i="16" s="1"/>
  <c r="F325" i="16" l="1"/>
  <c r="J325" i="16" s="1"/>
  <c r="J326" i="16"/>
  <c r="F15" i="16"/>
  <c r="J15" i="16" s="1"/>
  <c r="F431" i="16" l="1"/>
  <c r="J431" i="16" s="1"/>
  <c r="F399" i="16"/>
  <c r="F398" i="16" l="1"/>
  <c r="F120" i="16"/>
  <c r="J120" i="16" s="1"/>
  <c r="F25" i="16"/>
  <c r="J25" i="16" s="1"/>
  <c r="F536" i="16" l="1"/>
  <c r="J536" i="16" s="1"/>
  <c r="F501" i="16"/>
  <c r="J501" i="16" s="1"/>
  <c r="F535" i="16" l="1"/>
  <c r="J535" i="16" s="1"/>
  <c r="F531" i="16" l="1"/>
  <c r="J531" i="16" s="1"/>
  <c r="F529" i="16"/>
  <c r="F527" i="16"/>
  <c r="J527" i="16" s="1"/>
  <c r="F462" i="16"/>
  <c r="F525" i="16" l="1"/>
  <c r="F286" i="16"/>
  <c r="J286" i="16" s="1"/>
  <c r="F284" i="16"/>
  <c r="F282" i="16"/>
  <c r="J282" i="16" s="1"/>
  <c r="F280" i="16"/>
  <c r="F135" i="16"/>
  <c r="J135" i="16" s="1"/>
  <c r="F372" i="16"/>
  <c r="F371" i="16" l="1"/>
  <c r="J371" i="16" s="1"/>
  <c r="J372" i="16"/>
  <c r="F524" i="16"/>
  <c r="J524" i="16" s="1"/>
  <c r="F132" i="16"/>
  <c r="F279" i="16"/>
  <c r="J279" i="16" s="1"/>
  <c r="F140" i="16"/>
  <c r="F131" i="16" l="1"/>
  <c r="J132" i="16"/>
  <c r="F139" i="16"/>
  <c r="F201" i="16"/>
  <c r="J201" i="16" s="1"/>
  <c r="F95" i="16"/>
  <c r="J95" i="16" s="1"/>
  <c r="F118" i="16"/>
  <c r="F130" i="16" l="1"/>
  <c r="J130" i="16" s="1"/>
  <c r="J131" i="16"/>
  <c r="F115" i="16"/>
  <c r="J115" i="16" s="1"/>
  <c r="F138" i="16"/>
  <c r="F200" i="16"/>
  <c r="F235" i="16"/>
  <c r="F367" i="16"/>
  <c r="J367" i="16" s="1"/>
  <c r="F369" i="16"/>
  <c r="J369" i="16" s="1"/>
  <c r="F234" i="16" l="1"/>
  <c r="J234" i="16" s="1"/>
  <c r="J235" i="16"/>
  <c r="F114" i="16"/>
  <c r="J114" i="16" s="1"/>
  <c r="F199" i="16"/>
  <c r="J199" i="16" s="1"/>
  <c r="J200" i="16"/>
  <c r="F366" i="16"/>
  <c r="F365" i="16" l="1"/>
  <c r="J365" i="16" s="1"/>
  <c r="J366" i="16"/>
  <c r="F623" i="16"/>
  <c r="F616" i="16"/>
  <c r="J616" i="16" s="1"/>
  <c r="F614" i="16"/>
  <c r="J614" i="16" s="1"/>
  <c r="F610" i="16"/>
  <c r="J610" i="16" s="1"/>
  <c r="F599" i="16"/>
  <c r="J599" i="16" s="1"/>
  <c r="F592" i="16"/>
  <c r="F586" i="16"/>
  <c r="F582" i="16"/>
  <c r="F569" i="16"/>
  <c r="F563" i="16"/>
  <c r="J563" i="16" s="1"/>
  <c r="F558" i="16"/>
  <c r="J558" i="16" s="1"/>
  <c r="F552" i="16"/>
  <c r="F544" i="16"/>
  <c r="J544" i="16" s="1"/>
  <c r="F522" i="16"/>
  <c r="J522" i="16" s="1"/>
  <c r="F520" i="16"/>
  <c r="J520" i="16" s="1"/>
  <c r="F518" i="16"/>
  <c r="J518" i="16" s="1"/>
  <c r="F515" i="16"/>
  <c r="J515" i="16" s="1"/>
  <c r="F513" i="16"/>
  <c r="J513" i="16" s="1"/>
  <c r="F511" i="16"/>
  <c r="J511" i="16" s="1"/>
  <c r="F509" i="16"/>
  <c r="J509" i="16" s="1"/>
  <c r="F503" i="16"/>
  <c r="F498" i="16"/>
  <c r="F495" i="16"/>
  <c r="J495" i="16" s="1"/>
  <c r="F493" i="16"/>
  <c r="J493" i="16" s="1"/>
  <c r="F483" i="16"/>
  <c r="F481" i="16"/>
  <c r="F479" i="16"/>
  <c r="F474" i="16"/>
  <c r="F470" i="16"/>
  <c r="J470" i="16" s="1"/>
  <c r="F464" i="16"/>
  <c r="F457" i="16"/>
  <c r="J457" i="16" s="1"/>
  <c r="F443" i="16"/>
  <c r="J443" i="16" s="1"/>
  <c r="F441" i="16"/>
  <c r="J441" i="16" s="1"/>
  <c r="F435" i="16"/>
  <c r="J435" i="16" s="1"/>
  <c r="F421" i="16"/>
  <c r="F413" i="16"/>
  <c r="F406" i="16"/>
  <c r="F405" i="16"/>
  <c r="J405" i="16" s="1"/>
  <c r="F392" i="16"/>
  <c r="J392" i="16" s="1"/>
  <c r="F390" i="16"/>
  <c r="J390" i="16" s="1"/>
  <c r="F388" i="16"/>
  <c r="J388" i="16" s="1"/>
  <c r="F386" i="16"/>
  <c r="J386" i="16" s="1"/>
  <c r="F384" i="16"/>
  <c r="J384" i="16" s="1"/>
  <c r="F376" i="16"/>
  <c r="J376" i="16" s="1"/>
  <c r="F364" i="16"/>
  <c r="J364" i="16" s="1"/>
  <c r="F361" i="16"/>
  <c r="J361" i="16" s="1"/>
  <c r="F359" i="16"/>
  <c r="J359" i="16" s="1"/>
  <c r="F355" i="16"/>
  <c r="J355" i="16" s="1"/>
  <c r="F353" i="16"/>
  <c r="J353" i="16" s="1"/>
  <c r="F346" i="16"/>
  <c r="F341" i="16"/>
  <c r="F334" i="16"/>
  <c r="F304" i="16"/>
  <c r="F277" i="16"/>
  <c r="F289" i="16"/>
  <c r="J289" i="16" s="1"/>
  <c r="F291" i="16"/>
  <c r="J291" i="16" s="1"/>
  <c r="F271" i="16"/>
  <c r="J271" i="16" s="1"/>
  <c r="F269" i="16"/>
  <c r="J269" i="16" s="1"/>
  <c r="F265" i="16"/>
  <c r="J265" i="16" s="1"/>
  <c r="F263" i="16"/>
  <c r="F251" i="16"/>
  <c r="F240" i="16"/>
  <c r="J240" i="16" s="1"/>
  <c r="F238" i="16"/>
  <c r="J238" i="16" s="1"/>
  <c r="F232" i="16"/>
  <c r="F218" i="16"/>
  <c r="F216" i="16"/>
  <c r="F196" i="16"/>
  <c r="F185" i="16"/>
  <c r="F174" i="16"/>
  <c r="J174" i="16" s="1"/>
  <c r="F172" i="16"/>
  <c r="J172" i="16" s="1"/>
  <c r="F169" i="16"/>
  <c r="J169" i="16" s="1"/>
  <c r="F167" i="16"/>
  <c r="J167" i="16" s="1"/>
  <c r="F161" i="16"/>
  <c r="J161" i="16" s="1"/>
  <c r="F153" i="16"/>
  <c r="J153" i="16" s="1"/>
  <c r="F151" i="16"/>
  <c r="J151" i="16" s="1"/>
  <c r="F128" i="16"/>
  <c r="F109" i="16"/>
  <c r="F102" i="16"/>
  <c r="J102" i="16" s="1"/>
  <c r="F99" i="16"/>
  <c r="J99" i="16" s="1"/>
  <c r="F90" i="16"/>
  <c r="J90" i="16" s="1"/>
  <c r="F87" i="16"/>
  <c r="J87" i="16" s="1"/>
  <c r="F84" i="16"/>
  <c r="J84" i="16" s="1"/>
  <c r="F82" i="16"/>
  <c r="J82" i="16" s="1"/>
  <c r="F80" i="16"/>
  <c r="J80" i="16" s="1"/>
  <c r="F71" i="16"/>
  <c r="J71" i="16" s="1"/>
  <c r="F70" i="16"/>
  <c r="J70" i="16" s="1"/>
  <c r="F68" i="16"/>
  <c r="J68" i="16" s="1"/>
  <c r="F67" i="16"/>
  <c r="J67" i="16" s="1"/>
  <c r="F63" i="16"/>
  <c r="J63" i="16" s="1"/>
  <c r="F57" i="16"/>
  <c r="F51" i="16"/>
  <c r="J51" i="16" s="1"/>
  <c r="F43" i="16"/>
  <c r="F24" i="16"/>
  <c r="F17" i="16"/>
  <c r="J17" i="16" s="1"/>
  <c r="F14" i="16"/>
  <c r="J14" i="16" s="1"/>
  <c r="F56" i="16" l="1"/>
  <c r="J57" i="16"/>
  <c r="F274" i="16"/>
  <c r="J274" i="16" s="1"/>
  <c r="J277" i="16"/>
  <c r="F345" i="16"/>
  <c r="J346" i="16"/>
  <c r="F461" i="16"/>
  <c r="F497" i="16"/>
  <c r="J497" i="16" s="1"/>
  <c r="J498" i="16"/>
  <c r="F591" i="16"/>
  <c r="J592" i="16"/>
  <c r="F23" i="16"/>
  <c r="J24" i="16"/>
  <c r="F108" i="16"/>
  <c r="J109" i="16"/>
  <c r="F248" i="16"/>
  <c r="F247" i="16" s="1"/>
  <c r="F303" i="16"/>
  <c r="J304" i="16"/>
  <c r="F404" i="16"/>
  <c r="J406" i="16"/>
  <c r="F500" i="16"/>
  <c r="J500" i="16" s="1"/>
  <c r="J503" i="16"/>
  <c r="F568" i="16"/>
  <c r="J568" i="16" s="1"/>
  <c r="J569" i="16"/>
  <c r="F622" i="16"/>
  <c r="J623" i="16"/>
  <c r="F42" i="16"/>
  <c r="J43" i="16"/>
  <c r="F127" i="16"/>
  <c r="J128" i="16"/>
  <c r="F184" i="16"/>
  <c r="J185" i="16"/>
  <c r="F231" i="16"/>
  <c r="J231" i="16" s="1"/>
  <c r="J232" i="16"/>
  <c r="F333" i="16"/>
  <c r="J334" i="16"/>
  <c r="F551" i="16"/>
  <c r="J552" i="16"/>
  <c r="F581" i="16"/>
  <c r="J582" i="16"/>
  <c r="F195" i="16"/>
  <c r="J196" i="16"/>
  <c r="F339" i="16"/>
  <c r="J341" i="16"/>
  <c r="F420" i="16"/>
  <c r="J420" i="16" s="1"/>
  <c r="J421" i="16"/>
  <c r="F585" i="16"/>
  <c r="J586" i="16"/>
  <c r="F412" i="16"/>
  <c r="J413" i="16"/>
  <c r="F541" i="16"/>
  <c r="F438" i="16"/>
  <c r="F79" i="16"/>
  <c r="F288" i="16"/>
  <c r="F171" i="16"/>
  <c r="J171" i="16" s="1"/>
  <c r="F48" i="16"/>
  <c r="F557" i="16"/>
  <c r="F508" i="16"/>
  <c r="J508" i="16" s="1"/>
  <c r="F383" i="16"/>
  <c r="F215" i="16"/>
  <c r="F316" i="16"/>
  <c r="F150" i="16"/>
  <c r="F30" i="16"/>
  <c r="F375" i="16"/>
  <c r="F469" i="16"/>
  <c r="J469" i="16" s="1"/>
  <c r="F419" i="16"/>
  <c r="J419" i="16" s="1"/>
  <c r="F206" i="16"/>
  <c r="F517" i="16"/>
  <c r="J517" i="16" s="1"/>
  <c r="F113" i="16"/>
  <c r="F478" i="16"/>
  <c r="F468" i="16"/>
  <c r="F358" i="16"/>
  <c r="F352" i="16"/>
  <c r="F268" i="16"/>
  <c r="F490" i="16"/>
  <c r="F13" i="16"/>
  <c r="F598" i="16"/>
  <c r="F60" i="16"/>
  <c r="F166" i="16"/>
  <c r="J166" i="16" s="1"/>
  <c r="F567" i="16"/>
  <c r="F237" i="16"/>
  <c r="J237" i="16" s="1"/>
  <c r="F340" i="16"/>
  <c r="J340" i="16" s="1"/>
  <c r="F66" i="16"/>
  <c r="F429" i="16"/>
  <c r="J429" i="16" s="1"/>
  <c r="F609" i="16"/>
  <c r="F430" i="16"/>
  <c r="J430" i="16" s="1"/>
  <c r="F580" i="16"/>
  <c r="J580" i="16" s="1"/>
  <c r="F59" i="16" l="1"/>
  <c r="J60" i="16"/>
  <c r="F489" i="16"/>
  <c r="J490" i="16"/>
  <c r="F467" i="16"/>
  <c r="J467" i="16" s="1"/>
  <c r="J468" i="16"/>
  <c r="F205" i="16"/>
  <c r="J205" i="16" s="1"/>
  <c r="J206" i="16"/>
  <c r="F29" i="16"/>
  <c r="J30" i="16"/>
  <c r="F47" i="16"/>
  <c r="J48" i="16"/>
  <c r="F437" i="16"/>
  <c r="J437" i="16" s="1"/>
  <c r="J438" i="16"/>
  <c r="F267" i="16"/>
  <c r="J267" i="16" s="1"/>
  <c r="J268" i="16"/>
  <c r="F246" i="16"/>
  <c r="F382" i="16"/>
  <c r="J382" i="16" s="1"/>
  <c r="J383" i="16"/>
  <c r="F540" i="16"/>
  <c r="J540" i="16" s="1"/>
  <c r="J541" i="16"/>
  <c r="F194" i="16"/>
  <c r="J195" i="16"/>
  <c r="F550" i="16"/>
  <c r="J551" i="16"/>
  <c r="F126" i="16"/>
  <c r="J127" i="16"/>
  <c r="F621" i="16"/>
  <c r="J622" i="16"/>
  <c r="F302" i="16"/>
  <c r="J303" i="16"/>
  <c r="F107" i="16"/>
  <c r="J108" i="16"/>
  <c r="F590" i="16"/>
  <c r="J591" i="16"/>
  <c r="F597" i="16"/>
  <c r="J598" i="16"/>
  <c r="F351" i="16"/>
  <c r="J351" i="16" s="1"/>
  <c r="J352" i="16"/>
  <c r="F273" i="16"/>
  <c r="J273" i="16" s="1"/>
  <c r="J288" i="16"/>
  <c r="F477" i="16"/>
  <c r="F65" i="16"/>
  <c r="J65" i="16" s="1"/>
  <c r="J66" i="16"/>
  <c r="F565" i="16"/>
  <c r="J565" i="16" s="1"/>
  <c r="J567" i="16"/>
  <c r="F12" i="16"/>
  <c r="J13" i="16"/>
  <c r="F357" i="16"/>
  <c r="J357" i="16" s="1"/>
  <c r="J358" i="16"/>
  <c r="F315" i="16"/>
  <c r="J316" i="16"/>
  <c r="F556" i="16"/>
  <c r="F555" i="16" s="1"/>
  <c r="J555" i="16" s="1"/>
  <c r="J557" i="16"/>
  <c r="F584" i="16"/>
  <c r="J584" i="16" s="1"/>
  <c r="J585" i="16"/>
  <c r="F338" i="16"/>
  <c r="J339" i="16"/>
  <c r="F579" i="16"/>
  <c r="J581" i="16"/>
  <c r="F332" i="16"/>
  <c r="J333" i="16"/>
  <c r="F183" i="16"/>
  <c r="J184" i="16"/>
  <c r="F41" i="16"/>
  <c r="J42" i="16"/>
  <c r="F403" i="16"/>
  <c r="J404" i="16"/>
  <c r="F22" i="16"/>
  <c r="J23" i="16"/>
  <c r="F344" i="16"/>
  <c r="J344" i="16" s="1"/>
  <c r="J345" i="16"/>
  <c r="F55" i="16"/>
  <c r="J55" i="16" s="1"/>
  <c r="J56" i="16"/>
  <c r="F149" i="16"/>
  <c r="J150" i="16"/>
  <c r="F374" i="16"/>
  <c r="J375" i="16"/>
  <c r="F112" i="16"/>
  <c r="J113" i="16"/>
  <c r="F78" i="16"/>
  <c r="J79" i="16"/>
  <c r="F608" i="16"/>
  <c r="J609" i="16"/>
  <c r="F411" i="16"/>
  <c r="J412" i="16"/>
  <c r="F214" i="16"/>
  <c r="F507" i="16"/>
  <c r="F165" i="16"/>
  <c r="F566" i="16"/>
  <c r="J566" i="16" s="1"/>
  <c r="F418" i="16" l="1"/>
  <c r="F417" i="16" s="1"/>
  <c r="J417" i="16" s="1"/>
  <c r="F381" i="16"/>
  <c r="F380" i="16" s="1"/>
  <c r="F350" i="16"/>
  <c r="F343" i="16" s="1"/>
  <c r="J343" i="16" s="1"/>
  <c r="F254" i="16"/>
  <c r="F253" i="16" s="1"/>
  <c r="J253" i="16" s="1"/>
  <c r="F213" i="16"/>
  <c r="J214" i="16"/>
  <c r="F21" i="16"/>
  <c r="J21" i="16" s="1"/>
  <c r="J22" i="16"/>
  <c r="F40" i="16"/>
  <c r="J41" i="16"/>
  <c r="F331" i="16"/>
  <c r="J332" i="16"/>
  <c r="F337" i="16"/>
  <c r="J337" i="16" s="1"/>
  <c r="J338" i="16"/>
  <c r="F554" i="16"/>
  <c r="J554" i="16" s="1"/>
  <c r="J556" i="16"/>
  <c r="F476" i="16"/>
  <c r="F589" i="16"/>
  <c r="J590" i="16"/>
  <c r="F301" i="16"/>
  <c r="J302" i="16"/>
  <c r="F125" i="16"/>
  <c r="J126" i="16"/>
  <c r="F189" i="16"/>
  <c r="J194" i="16"/>
  <c r="F46" i="16"/>
  <c r="J47" i="16"/>
  <c r="F488" i="16"/>
  <c r="J489" i="16"/>
  <c r="J350" i="16"/>
  <c r="F164" i="16"/>
  <c r="J164" i="16" s="1"/>
  <c r="J165" i="16"/>
  <c r="F506" i="16"/>
  <c r="J507" i="16"/>
  <c r="F402" i="16"/>
  <c r="J403" i="16"/>
  <c r="F182" i="16"/>
  <c r="J183" i="16"/>
  <c r="J579" i="16"/>
  <c r="F578" i="16"/>
  <c r="F314" i="16"/>
  <c r="J315" i="16"/>
  <c r="F11" i="16"/>
  <c r="J12" i="16"/>
  <c r="F596" i="16"/>
  <c r="J597" i="16"/>
  <c r="J107" i="16"/>
  <c r="F105" i="16"/>
  <c r="F106" i="16"/>
  <c r="J106" i="16" s="1"/>
  <c r="F620" i="16"/>
  <c r="J621" i="16"/>
  <c r="F549" i="16"/>
  <c r="J550" i="16"/>
  <c r="F243" i="16"/>
  <c r="F28" i="16"/>
  <c r="J28" i="16" s="1"/>
  <c r="J29" i="16"/>
  <c r="F54" i="16"/>
  <c r="J54" i="16" s="1"/>
  <c r="J59" i="16"/>
  <c r="F607" i="16"/>
  <c r="J608" i="16"/>
  <c r="F111" i="16"/>
  <c r="J111" i="16" s="1"/>
  <c r="J112" i="16"/>
  <c r="F410" i="16"/>
  <c r="J411" i="16"/>
  <c r="F77" i="16"/>
  <c r="J78" i="16"/>
  <c r="F363" i="16"/>
  <c r="J363" i="16" s="1"/>
  <c r="J374" i="16"/>
  <c r="F148" i="16"/>
  <c r="J149" i="16"/>
  <c r="F163" i="16" l="1"/>
  <c r="J381" i="16"/>
  <c r="J418" i="16"/>
  <c r="J254" i="16"/>
  <c r="F548" i="16"/>
  <c r="J548" i="16" s="1"/>
  <c r="J549" i="16"/>
  <c r="F104" i="16"/>
  <c r="J104" i="16" s="1"/>
  <c r="J105" i="16"/>
  <c r="F577" i="16"/>
  <c r="J578" i="16"/>
  <c r="F10" i="16"/>
  <c r="J11" i="16"/>
  <c r="F401" i="16"/>
  <c r="J401" i="16" s="1"/>
  <c r="J402" i="16"/>
  <c r="F505" i="16"/>
  <c r="J505" i="16" s="1"/>
  <c r="J506" i="16"/>
  <c r="F45" i="16"/>
  <c r="J45" i="16" s="1"/>
  <c r="J46" i="16"/>
  <c r="F124" i="16"/>
  <c r="J124" i="16" s="1"/>
  <c r="J125" i="16"/>
  <c r="F588" i="16"/>
  <c r="J588" i="16" s="1"/>
  <c r="J589" i="16"/>
  <c r="F330" i="16"/>
  <c r="J330" i="16" s="1"/>
  <c r="J331" i="16"/>
  <c r="F379" i="16"/>
  <c r="J379" i="16" s="1"/>
  <c r="J380" i="16"/>
  <c r="F242" i="16"/>
  <c r="J242" i="16" s="1"/>
  <c r="F619" i="16"/>
  <c r="J620" i="16"/>
  <c r="F595" i="16"/>
  <c r="J595" i="16" s="1"/>
  <c r="J596" i="16"/>
  <c r="F313" i="16"/>
  <c r="J314" i="16"/>
  <c r="F181" i="16"/>
  <c r="J181" i="16" s="1"/>
  <c r="J182" i="16"/>
  <c r="F487" i="16"/>
  <c r="J488" i="16"/>
  <c r="J189" i="16"/>
  <c r="F188" i="16"/>
  <c r="F300" i="16"/>
  <c r="J300" i="16" s="1"/>
  <c r="J301" i="16"/>
  <c r="F466" i="16"/>
  <c r="F39" i="16"/>
  <c r="J39" i="16" s="1"/>
  <c r="J40" i="16"/>
  <c r="F212" i="16"/>
  <c r="J212" i="16" s="1"/>
  <c r="J213" i="16"/>
  <c r="F147" i="16"/>
  <c r="J148" i="16"/>
  <c r="J77" i="16"/>
  <c r="F53" i="16"/>
  <c r="J163" i="16"/>
  <c r="F409" i="16"/>
  <c r="J410" i="16"/>
  <c r="F606" i="16"/>
  <c r="J607" i="16"/>
  <c r="F336" i="16"/>
  <c r="J336" i="16" s="1"/>
  <c r="J466" i="16" l="1"/>
  <c r="F416" i="16"/>
  <c r="J188" i="16"/>
  <c r="F187" i="16"/>
  <c r="J187" i="16" s="1"/>
  <c r="F9" i="16"/>
  <c r="J9" i="16" s="1"/>
  <c r="J10" i="16"/>
  <c r="J487" i="16"/>
  <c r="F486" i="16"/>
  <c r="F306" i="16"/>
  <c r="J306" i="16" s="1"/>
  <c r="J313" i="16"/>
  <c r="F618" i="16"/>
  <c r="J618" i="16" s="1"/>
  <c r="J619" i="16"/>
  <c r="J577" i="16"/>
  <c r="F576" i="16"/>
  <c r="J576" i="16" s="1"/>
  <c r="F605" i="16"/>
  <c r="J606" i="16"/>
  <c r="F20" i="16"/>
  <c r="J53" i="16"/>
  <c r="F408" i="16"/>
  <c r="J408" i="16" s="1"/>
  <c r="J409" i="16"/>
  <c r="F143" i="16"/>
  <c r="J147" i="16"/>
  <c r="J486" i="16" l="1"/>
  <c r="F485" i="16"/>
  <c r="J485" i="16" s="1"/>
  <c r="J416" i="16"/>
  <c r="F415" i="16"/>
  <c r="J415" i="16" s="1"/>
  <c r="F142" i="16"/>
  <c r="J20" i="16"/>
  <c r="F604" i="16"/>
  <c r="J604" i="16" s="1"/>
  <c r="J605" i="16"/>
  <c r="F137" i="16" l="1"/>
  <c r="F123" i="16" l="1"/>
  <c r="J123" i="16" l="1"/>
  <c r="F19" i="16"/>
  <c r="J19" i="16" l="1"/>
  <c r="F628" i="16"/>
  <c r="J628" i="16" s="1"/>
</calcChain>
</file>

<file path=xl/sharedStrings.xml><?xml version="1.0" encoding="utf-8"?>
<sst xmlns="http://schemas.openxmlformats.org/spreadsheetml/2006/main" count="2814" uniqueCount="673">
  <si>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</si>
  <si>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</si>
  <si>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</si>
  <si>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</si>
  <si>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</si>
  <si>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</si>
  <si>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</si>
  <si>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</si>
  <si>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</si>
  <si>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</si>
  <si>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</si>
  <si>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</si>
  <si>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</si>
  <si>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</si>
  <si>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</si>
  <si>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</si>
  <si>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</si>
  <si>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</si>
  <si>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</si>
  <si>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992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</si>
  <si>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</si>
  <si>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</si>
  <si>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</si>
  <si>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</si>
  <si>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</si>
  <si>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</si>
  <si>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</si>
  <si>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000</t>
  </si>
  <si>
    <t>0000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</si>
  <si>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</si>
  <si>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</si>
  <si>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</si>
  <si>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</si>
  <si>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</si>
  <si>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</si>
  <si>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</si>
  <si>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</si>
  <si>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</si>
  <si>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</si>
  <si>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</si>
  <si>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</si>
  <si>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</si>
  <si>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</si>
  <si>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</si>
  <si>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</si>
  <si>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</si>
  <si>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0700</t>
  </si>
  <si>
    <t>0701</t>
  </si>
  <si>
    <t>0702</t>
  </si>
  <si>
    <t>0709</t>
  </si>
  <si>
    <t>1001</t>
  </si>
  <si>
    <t>0100</t>
  </si>
  <si>
    <t>0800</t>
  </si>
  <si>
    <t>1100</t>
  </si>
  <si>
    <t xml:space="preserve">Ведомство </t>
  </si>
  <si>
    <t>994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</si>
  <si>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</si>
  <si>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</si>
  <si>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</si>
  <si>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</si>
  <si>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</si>
  <si>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</si>
  <si>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</si>
  <si>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995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</si>
  <si>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</si>
  <si>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996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</si>
  <si>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</si>
  <si>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</si>
  <si>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</si>
  <si>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</si>
  <si>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</si>
  <si>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</si>
  <si>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</si>
  <si>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</si>
  <si>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Культура и  кинематография</t>
  </si>
  <si>
    <t>0804</t>
  </si>
  <si>
    <t>Охрана семьи и детства</t>
  </si>
  <si>
    <t>1004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</si>
  <si>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</si>
  <si>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Средства массовой информации</t>
  </si>
  <si>
    <t>1200</t>
  </si>
  <si>
    <t>Периодическая печать и издательства</t>
  </si>
  <si>
    <t>1202</t>
  </si>
  <si>
    <t>Национальная оборона</t>
  </si>
  <si>
    <t>0200</t>
  </si>
  <si>
    <t>0203</t>
  </si>
  <si>
    <t>Расходы, связанные с исполнением решений, принятых судебными органами</t>
  </si>
  <si>
    <t>Резервные средства</t>
  </si>
  <si>
    <t>870</t>
  </si>
  <si>
    <t>810</t>
  </si>
  <si>
    <t>к муниципальному правовому акту</t>
  </si>
  <si>
    <t>0707</t>
  </si>
  <si>
    <t>Социальное обеспечение населения</t>
  </si>
  <si>
    <t>1003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</si>
  <si>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</si>
  <si>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</si>
  <si>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</si>
  <si>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</si>
  <si>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</si>
  <si>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</si>
  <si>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</si>
  <si>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</si>
  <si>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</si>
  <si>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</si>
  <si>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</si>
  <si>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</si>
  <si>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</si>
  <si>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</si>
  <si>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</si>
  <si>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</si>
  <si>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Мобилизационная и вневойсковая подготовка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</si>
  <si>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</si>
  <si>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Проведение мероприятий для детей и молодежи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</si>
  <si>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</si>
  <si>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</si>
  <si>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</si>
  <si>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</si>
  <si>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</si>
  <si>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</si>
  <si>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</si>
  <si>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</si>
  <si>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Обслуживание муниципального долга</t>
  </si>
  <si>
    <t>730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</si>
  <si>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</si>
  <si>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</si>
  <si>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</si>
  <si>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</si>
  <si>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</si>
  <si>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</si>
  <si>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</si>
  <si>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</si>
  <si>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</si>
  <si>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</si>
  <si>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</si>
  <si>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</si>
  <si>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</si>
  <si>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</si>
  <si>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</si>
  <si>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</si>
  <si>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</si>
  <si>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Расходы на выплаты персоналу казенных учреждений</t>
  </si>
  <si>
    <t>110</t>
  </si>
  <si>
    <t>850</t>
  </si>
  <si>
    <t>Жилищно- коммунальное хозяйство</t>
  </si>
  <si>
    <t>0500</t>
  </si>
  <si>
    <t>Жилищное хозяйство</t>
  </si>
  <si>
    <t>0501</t>
  </si>
  <si>
    <t>Другие вопросы в области культуры, кинематографии</t>
  </si>
  <si>
    <t>Коммунальное хозяйство</t>
  </si>
  <si>
    <t>0502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</si>
  <si>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</si>
  <si>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</si>
  <si>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</si>
  <si>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</si>
  <si>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</si>
  <si>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</si>
  <si>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</si>
  <si>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</si>
  <si>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</si>
  <si>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</si>
  <si>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</si>
  <si>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</si>
  <si>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</si>
  <si>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</si>
  <si>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</si>
  <si>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</si>
  <si>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12 0 00 00000</t>
  </si>
  <si>
    <t>12 1 00 00000</t>
  </si>
  <si>
    <t>12 2 00 00000</t>
  </si>
  <si>
    <t>17 0 00 00000</t>
  </si>
  <si>
    <t>06 0 00 00000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</si>
  <si>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</si>
  <si>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</si>
  <si>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</si>
  <si>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</si>
  <si>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</si>
  <si>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05 3 00 00000</t>
  </si>
  <si>
    <t>02 6 00 00000</t>
  </si>
  <si>
    <t>06 6 00 00000</t>
  </si>
  <si>
    <t>99 9 99 59300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</si>
  <si>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</si>
  <si>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</si>
  <si>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</si>
  <si>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</si>
  <si>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 xml:space="preserve">00 0 00 00000 </t>
  </si>
  <si>
    <t>12 2 03 00000</t>
  </si>
  <si>
    <t>Исполнение судебных актов</t>
  </si>
  <si>
    <t>06 3 01 L4970</t>
  </si>
  <si>
    <t>Премии и гранты</t>
  </si>
  <si>
    <t>350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</si>
  <si>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</si>
  <si>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</si>
  <si>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99 9 99 93130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</si>
  <si>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</si>
  <si>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Массовый спорт</t>
  </si>
  <si>
    <t>1102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</si>
  <si>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</si>
  <si>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06 5 00 00000</t>
  </si>
  <si>
    <t>06 5 01 00000</t>
  </si>
  <si>
    <t>Субсидии бюджетам муниципальных образований Приморского края на обеспечение граждан твердым топливом (дровами)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</si>
  <si>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</si>
  <si>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</si>
  <si>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</si>
  <si>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</si>
  <si>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</si>
  <si>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</si>
  <si>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</si>
  <si>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</si>
  <si>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</si>
  <si>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</si>
  <si>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</si>
  <si>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</si>
  <si>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</si>
  <si>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</si>
  <si>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</si>
  <si>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</si>
  <si>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</si>
  <si>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</si>
  <si>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</si>
  <si>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</si>
  <si>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</si>
  <si>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</si>
  <si>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</si>
  <si>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0703</t>
  </si>
  <si>
    <t>02 2 01 53030</t>
  </si>
  <si>
    <t>20 0 00 00000</t>
  </si>
  <si>
    <t>99 9 99 93180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</si>
  <si>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</si>
  <si>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</si>
  <si>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</si>
  <si>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</si>
  <si>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</si>
  <si>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</si>
  <si>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</si>
  <si>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</si>
  <si>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</si>
  <si>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</si>
  <si>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</si>
  <si>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</si>
  <si>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</si>
  <si>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</si>
  <si>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</si>
  <si>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Субсидии из краевого бюджета бюджетам муниципальных образований Приморского края на на реализацию федеральной целевой программы "Увековечение памяти погибших при защите Отечества на 2019 - 2024 годы"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</si>
  <si>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</si>
  <si>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</si>
  <si>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</si>
  <si>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</si>
  <si>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</si>
  <si>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</si>
  <si>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</si>
  <si>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</si>
  <si>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</si>
  <si>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</si>
  <si>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</si>
  <si>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</si>
  <si>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</si>
  <si>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</si>
  <si>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на реализацию государственногых полномочий в сфере транспортного обслуживания по муниципальным маршрутам в границах муниципальных образований</t>
  </si>
  <si>
    <t>Региональный проект "Региональная и местная дорожная сеть"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</si>
  <si>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</si>
  <si>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</si>
  <si>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Компенсационные выплаты за найм жилого помещения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</si>
  <si>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</si>
  <si>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</si>
  <si>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</si>
  <si>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</si>
  <si>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Другие вопросы в области национальной экономики</t>
  </si>
  <si>
    <t>0412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</si>
  <si>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</si>
  <si>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</si>
  <si>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</si>
  <si>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</si>
  <si>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12 1 01 00000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</si>
  <si>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</si>
  <si>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</si>
  <si>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</si>
  <si>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</si>
  <si>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</si>
  <si>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</si>
  <si>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</si>
  <si>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</si>
  <si>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</si>
  <si>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</si>
  <si>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</si>
  <si>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</si>
  <si>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</si>
  <si>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</si>
  <si>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</si>
  <si>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</si>
  <si>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</si>
  <si>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</si>
  <si>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</si>
  <si>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</si>
  <si>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</si>
  <si>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Дополнительное образование детей</t>
  </si>
  <si>
    <t>Молодежная политика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</si>
  <si>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</si>
  <si>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</si>
  <si>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</si>
  <si>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Подпрограмма "Социальная поддержка семей и детей""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</si>
  <si>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</si>
  <si>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</si>
  <si>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</si>
  <si>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</si>
  <si>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</si>
  <si>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Подпрограмма "Организация досуга и обеспечение населения Шкотовского округа услугами организации культуры" (клубная система)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</si>
  <si>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</si>
  <si>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</si>
  <si>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</si>
  <si>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</si>
  <si>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</si>
  <si>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</si>
  <si>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</si>
  <si>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</si>
  <si>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</si>
  <si>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</si>
  <si>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</si>
  <si>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Муниципальная 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</si>
  <si>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</si>
  <si>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</si>
  <si>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</si>
  <si>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0105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</si>
  <si>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</si>
  <si>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</si>
  <si>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</si>
  <si>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</si>
  <si>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</si>
  <si>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</si>
  <si>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</si>
  <si>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</si>
  <si>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</si>
  <si>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</si>
  <si>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</si>
  <si>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</si>
  <si>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</si>
  <si>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</si>
  <si>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</si>
  <si>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</si>
  <si>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</si>
  <si>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</si>
  <si>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</si>
  <si>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</si>
  <si>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</si>
  <si>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</si>
  <si>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</si>
  <si>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</si>
  <si>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</si>
  <si>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</si>
  <si>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</si>
  <si>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</si>
  <si>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</si>
  <si>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</si>
  <si>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 xml:space="preserve">Муниципальная программа "Обеспечение доступным жильём и качественными услугами жилищно-коммунального хозяйства населения сельских поселений Шкотовского муниципального округа на 2020-2027 годы" 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</si>
  <si>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</si>
  <si>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</si>
  <si>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</si>
  <si>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</si>
  <si>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</si>
  <si>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</si>
  <si>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</si>
  <si>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</si>
  <si>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</si>
  <si>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</si>
  <si>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</si>
  <si>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</si>
  <si>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</si>
  <si>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1301</t>
  </si>
  <si>
    <t>99 9 99 10080</t>
  </si>
  <si>
    <t>0310</t>
  </si>
  <si>
    <t>Организация выполнения и осуществления мер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</si>
  <si>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</si>
  <si>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</si>
  <si>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</si>
  <si>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</si>
  <si>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</si>
  <si>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</si>
  <si>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</si>
  <si>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</si>
  <si>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</si>
  <si>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</si>
  <si>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</si>
  <si>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</si>
  <si>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</si>
  <si>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</si>
  <si>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</si>
  <si>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</si>
  <si>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</si>
  <si>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</si>
  <si>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</si>
  <si>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</si>
  <si>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</si>
  <si>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Субсидии на возмещение затрат на оплату жилищных услуг и услуг отопления жилых помещений семей военослужащих в зоне СВО</t>
  </si>
  <si>
    <t>Бюджетные инвестиции в объекты капитального строительства государственной (муниципальной) собственности</t>
  </si>
  <si>
    <t>06 6 01 00000</t>
  </si>
  <si>
    <t>Капитальный ремонт объектов централизованного водоотведения с. Анисимовка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</si>
  <si>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</si>
  <si>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</si>
  <si>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</si>
  <si>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</si>
  <si>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</si>
  <si>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02 1 03 00000</t>
  </si>
  <si>
    <t>02 1 03 L5764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</si>
  <si>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</si>
  <si>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</si>
  <si>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</si>
  <si>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</si>
  <si>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</si>
  <si>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Развитие кадрового потенциала в образовательных организациях Шкотовского муниципального округа</t>
  </si>
  <si>
    <t>Дума Шкотовского муниципального округа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</si>
  <si>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</si>
  <si>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</si>
  <si>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</si>
  <si>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</si>
  <si>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</si>
  <si>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03 3 01 00000</t>
  </si>
  <si>
    <t xml:space="preserve">Обеспечение беспрепятственного доступа инвалидов к объектам социальной инфраструктуры и информации 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</si>
  <si>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</si>
  <si>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03 3 01 20080</t>
  </si>
  <si>
    <t>05 4 01 00000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</si>
  <si>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</si>
  <si>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</si>
  <si>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</si>
  <si>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</si>
  <si>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</si>
  <si>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</si>
  <si>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Муниципальная программа "Формирование современной городской среды Шкотовского муниципального округа" на 2024-2027 гг</t>
  </si>
  <si>
    <t>Муниципальная программа "Развитие образования Шкотовского муниципального округа" на 2024 – 2027 годы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</si>
  <si>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</si>
  <si>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 xml:space="preserve">Подпрограмма "Патриотическое воспитание жителей Шкотовского муниципального округа Приморского края" 
</t>
  </si>
  <si>
    <t>Подпрограмма "Реализация образовательных программ общего образования"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</si>
  <si>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</si>
  <si>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>Подпрограмма "Развитие дополнительного образования детей и реализация мероприятий молодёжной политики"</t>
  </si>
  <si>
    <t>02 5 02 80010</t>
  </si>
  <si>
    <t>07 1 01 20360</t>
  </si>
  <si>
    <t>99 9 99 10100</t>
  </si>
  <si>
    <t>17 2 03 20370</t>
  </si>
  <si>
    <t>Контрольно-счетная комиссия Шкотовского муниципального округа</t>
  </si>
  <si>
    <t>Администрация Шкотовского муниципального округа</t>
  </si>
  <si>
    <t>Муниципальное казенное учреждение "Управление  образованием"  Шкотовского муниципального округа Приморского края</t>
  </si>
  <si>
    <t>Субсидии на возмещение затрат на оплату услуг по обеспечению твердым топливом семей военнослужащих в зоне СВО</t>
  </si>
  <si>
    <t>Компенсационные выплаты на возмещение затрат многодетных семей на обеспечение земельных участков инженерной инфроструктурой ВКХ</t>
  </si>
  <si>
    <t>Шкотовского муниципального округа</t>
  </si>
  <si>
    <t>0406</t>
  </si>
  <si>
    <t>07 1 01 20380</t>
  </si>
  <si>
    <t>Водное хозяйство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</si>
  <si>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</si>
  <si>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03 3 02 00000</t>
  </si>
  <si>
    <t>Основное мероприятие "Организация культурных и спортивных мероприятий, с участием людей с ограниченными возможностями"</t>
  </si>
  <si>
    <t>03 3 02 20020</t>
  </si>
  <si>
    <t>Организация культурных и спортивных мероприятий, с участием людей с ограниченными возможностями</t>
  </si>
  <si>
    <t>99 9 99 93010</t>
  </si>
  <si>
    <t>99 9 99 93030</t>
  </si>
  <si>
    <t>Субсидии бюджетам на подготовку проектов межевания земельных участков и на проведение кадастровых работ</t>
  </si>
  <si>
    <t>Основное мероприятие "Реализация проектов инициативного бюджетирования по направлению "Твой проект""</t>
  </si>
  <si>
    <t>05 3 А1 00000</t>
  </si>
  <si>
    <t>05 3 A1 55130</t>
  </si>
  <si>
    <t>Региональный проект "Культурная среда"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</si>
  <si>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</si>
  <si>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</si>
  <si>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02 2 03 S2751</t>
  </si>
  <si>
    <t>02 2 03 S2752</t>
  </si>
  <si>
    <t>14 0 00 00000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</si>
  <si>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</si>
  <si>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14 1 01 L5990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</si>
  <si>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</si>
  <si>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</si>
  <si>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14 1 00 00000</t>
  </si>
  <si>
    <t>14 1 01 00000</t>
  </si>
  <si>
    <t>муниципальное казенное учреждение  "Управление культуры" Шкотовского муниципального округа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</si>
  <si>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</si>
  <si>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</si>
  <si>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</si>
  <si>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09 1 P5 51390</t>
  </si>
  <si>
    <t>09 1 P5 00000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</si>
  <si>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</si>
  <si>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Основное мероприятие "Развитие массовой физической культуры и спорта в Шкотовском муниципальном округе"</t>
  </si>
  <si>
    <t>Муниципальное казенное учреждение "Хозяйственное управление администрации" Шкотовского муниципального округа</t>
  </si>
  <si>
    <t>Субсидии бюджетам муниципальных образований Приморского края на приобретение подвижного состава пассажирского транспорта общего пользования</t>
  </si>
  <si>
    <t>12 1 01 S2770</t>
  </si>
  <si>
    <t>Софинансирование из местного бюджета  на на приобретение подвижного состава пассажирского транспорта общего пользования</t>
  </si>
  <si>
    <t>Подпрограмма "Обеспечение качества ритуальных услуг на территории Шкотовского муниципального округа"</t>
  </si>
  <si>
    <t>12 2 03 2Д019</t>
  </si>
  <si>
    <t>Субсидии бюджетам муниципальных образований Приморского края на прибретение и поставку спортивного инвентаря, спортивного оборудования и иного имущества для развития массового спорта</t>
  </si>
  <si>
    <t>09 1 01 S2230</t>
  </si>
  <si>
    <t>Субсидии из краевого бюджета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</si>
  <si>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Софинансирование из местного бюджета субсидии из краевого бюджета бюджетам муниципальных образований Приморского края  на обеспечение развития и укрепления материально-технической базы муниципальных домов культуры</t>
  </si>
  <si>
    <t>05 3 01 S2470</t>
  </si>
  <si>
    <t>Субсидии из краевого бюджета бюджетам муниципальных образований Приморского края на модернизацию муниципальных библиотек</t>
  </si>
  <si>
    <t>Софинансирование из местного бюджета субсидии из краевого бюджета бюджетам муниципальных образований Приморского края на модернизацию муниципальных библиотек</t>
  </si>
  <si>
    <t>05 3 01 S2510</t>
  </si>
  <si>
    <t>05 3 01 L4670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</si>
  <si>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</si>
  <si>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</si>
  <si>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</si>
  <si>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02 3 02 94050</t>
  </si>
  <si>
    <t>02 2 03 S2340</t>
  </si>
  <si>
    <t xml:space="preserve"> Софинансирование из местного бюджета на финансовое обеспечение мероприятий по капитальному ремонту зданий и благоустройству территорий</t>
  </si>
  <si>
    <t>12 1 01 А2410</t>
  </si>
  <si>
    <t>Организация транспортного обслуживания населения в границах муниципальных образований Приморского края</t>
  </si>
  <si>
    <t>99 9 99 20210</t>
  </si>
  <si>
    <t>Меропрятия по обустройству и содержанию контейнерных площадок</t>
  </si>
  <si>
    <t>Осуществление деятельности по обращению с животными без владельцев, обитающими на территориях муниципального округа</t>
  </si>
  <si>
    <t>Субвенции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</si>
  <si>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Муниципальная программа Реализация молодежной политики и поддержка социально ориентированных и иных общественных организаций на территории Шкотовского муниципального округа" на 2022 – 2030 годы</t>
  </si>
  <si>
    <t>15 0 00 00000</t>
  </si>
  <si>
    <t>Подпрограмма "Реализация молодежной политики на территории  Шкотовского муниципального округа"</t>
  </si>
  <si>
    <t>15 1 00 00000</t>
  </si>
  <si>
    <t>Комплекс процессных мероприятий  "Реализация мероприятий направленных на формирование и развитие гражданского, патриотического, духовно-нравственного воспитания молодежи"</t>
  </si>
  <si>
    <t>15 1 01 00000</t>
  </si>
  <si>
    <t>15 1 01 20050</t>
  </si>
  <si>
    <t>15 2 01 00000</t>
  </si>
  <si>
    <t>Подпрограмма  "Поддержка социально ориентированных и иных общественных организаций на территории Шкотовского муниципального округа"</t>
  </si>
  <si>
    <t>15 2 00 00000</t>
  </si>
  <si>
    <t>Комплекс процессных мероприятий "Реализация мероприятий по поддержке общественных объединений, направленных на развитие институтов гражданского общества"</t>
  </si>
  <si>
    <t>Поддержка социально ориентированных и иных общественных организаций</t>
  </si>
  <si>
    <t xml:space="preserve">Гражданско-патриотическое и духовно-нравственное воспитание молодежи </t>
  </si>
  <si>
    <t>Информационное обеспечение молодежной политики</t>
  </si>
  <si>
    <t>Комплекс процессных мероприятий  "Информационное обеспечение молодежной политики"</t>
  </si>
  <si>
    <t>15 1 02 00000</t>
  </si>
  <si>
    <t>15 1 02 20280</t>
  </si>
  <si>
    <t>15 1 03 00000</t>
  </si>
  <si>
    <t>15 1 03 20290</t>
  </si>
  <si>
    <t>15 2 01 20300</t>
  </si>
  <si>
    <t xml:space="preserve"> Комплекс процессных мероприятий  "Проведение мероприятий для детей и молодежи"</t>
  </si>
  <si>
    <t>20 3 00 00000</t>
  </si>
  <si>
    <t>20 3 01 00000</t>
  </si>
  <si>
    <t>20 3 01 S2170</t>
  </si>
  <si>
    <t>Оказание ритуальных услуг по захоронению лиц, не имеющих родственников</t>
  </si>
  <si>
    <t>Содержание общественных кладбищ Шкотовского муниципального округа</t>
  </si>
  <si>
    <t>Софинансирование из местного бюджета на прибретение и поставку спортивного инвентаря, спортивного оборудования и иного имущества для развития массового спорта</t>
  </si>
  <si>
    <t>20 4 01 00000</t>
  </si>
  <si>
    <t>Комплекс процессных мероприятий "Осуществление деятельности по обращению с животными без владельцев, обитающими на территориях муниципального округа"</t>
  </si>
  <si>
    <t>20 4 00 00000</t>
  </si>
  <si>
    <t>Резервный фонд Администрации Шкотовского муниципального округа по ликвидации чрезвычайных ситуаций природного и техногенного характера</t>
  </si>
  <si>
    <t>99 9 99 10061</t>
  </si>
  <si>
    <t>12 2 03 9Д019</t>
  </si>
  <si>
    <t>12 2 03 9Д020</t>
  </si>
  <si>
    <t>Подпрограмма "Содержание территории Шкотовского муниципального округа"</t>
  </si>
  <si>
    <t>20 4 03 00000</t>
  </si>
  <si>
    <t>20 4 03 20450</t>
  </si>
  <si>
    <t>20 4 3 93040</t>
  </si>
  <si>
    <t>Основное мероприятие " Улучшение санитарного состояния и эстетического вида территории муниципального округа"</t>
  </si>
  <si>
    <t>20 4 01 20440</t>
  </si>
  <si>
    <t>20 2 00 00000</t>
  </si>
  <si>
    <t>20 2 01 00000</t>
  </si>
  <si>
    <t>Подпрограмма Благоустройство дворовых территорий детских и спортивных площадок Шкотовского муниципального округа</t>
  </si>
  <si>
    <t>Основное мероприятие "Развитие сферы ритуальных услуг на территории Шкотовского муниципального округа"</t>
  </si>
  <si>
    <t>20 4 02 00000</t>
  </si>
  <si>
    <t>20 4 02 S2361</t>
  </si>
  <si>
    <t>20 4 02 S2362</t>
  </si>
  <si>
    <t>20 4 04 00000</t>
  </si>
  <si>
    <t>Комплекс процессных мероприятий "Улучшение санитарного состояния ритуальных услуг на территории Шкотовского муниципального округа"</t>
  </si>
  <si>
    <t>20 4 04 20430</t>
  </si>
  <si>
    <t>20 4 04 20260</t>
  </si>
  <si>
    <t>20 2 01 S2610</t>
  </si>
  <si>
    <t>Основное мероприятие "Благоустройство дворовых территорий, детских и спортивных площадок"</t>
  </si>
  <si>
    <t>20 4 03 93040</t>
  </si>
  <si>
    <t>21 0 00 00000</t>
  </si>
  <si>
    <t>21 1 00 00000</t>
  </si>
  <si>
    <t>21 1 01 20310</t>
  </si>
  <si>
    <t>Подпрограмма "Противодействие коррупции в Шкотовском муниципальном округе на 2022-2025 годы"</t>
  </si>
  <si>
    <t>Муниципальная пограмма "Противодействие коррупции в Шкотовском муниципальном округе на 2022 - 2025 годы"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</si>
  <si>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</si>
  <si>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Резервный фонд Администрации Шкотовского муниципального округа</t>
  </si>
  <si>
    <t>18 1 03 00000</t>
  </si>
  <si>
    <t>Выполнение Перечня наказов избирателей депутатами Думы Шкотовского муниципального округа</t>
  </si>
  <si>
    <t>99 9 99 20390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</si>
  <si>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2024-2028 годы"</t>
  </si>
  <si>
    <t>06 2 02 60050</t>
  </si>
  <si>
    <t>Подпрограмма  "Стимулирование развития жилищного строительства на территории Шкотовского муниципального округа"</t>
  </si>
  <si>
    <t>06 2 00 00000</t>
  </si>
  <si>
    <t>06 2 02 00000</t>
  </si>
  <si>
    <t>Комплекс процессных мероприятий "Создание условий для развития жилищного строительства"</t>
  </si>
  <si>
    <t>06 5 03 60040</t>
  </si>
  <si>
    <t>06 5 03 00000</t>
  </si>
  <si>
    <t>Комплекс процессных мероприятий "Поддержка организаций коммунального хозяйства</t>
  </si>
  <si>
    <t>06 6 01 20320</t>
  </si>
  <si>
    <t>06 6 01 20010</t>
  </si>
  <si>
    <t>Подпрограмма "Обеспечение деятельности органов местного самоуправления"</t>
  </si>
  <si>
    <t>Комплекс процессных мероприятий "Капитальный и текущий ремонт муниципального жилого фонда"</t>
  </si>
  <si>
    <t>Ремонт муниципальных жилых помещений</t>
  </si>
  <si>
    <t>06 5 01 20350</t>
  </si>
  <si>
    <t>06 5 01 S2320</t>
  </si>
  <si>
    <t>Комплекс процессных мероприятий "Поддержка муниципальных программ в сфере жилищно-коммунального хозяйства"</t>
  </si>
  <si>
    <t>06 5 03 60060</t>
  </si>
  <si>
    <t>06 5 04 00000</t>
  </si>
  <si>
    <t>06 5 05 00000</t>
  </si>
  <si>
    <t>06 5 05 S2620</t>
  </si>
  <si>
    <t>Комплекс процессных мероприятий "Обеспечение граждан твердым топливом"</t>
  </si>
  <si>
    <t>06 5 04 20420</t>
  </si>
  <si>
    <t>Комплекс процессных мероприятий "Создание площадок ТКО"</t>
  </si>
  <si>
    <t>06 4 00 00000</t>
  </si>
  <si>
    <t>06 4 01 00000</t>
  </si>
  <si>
    <t>06 4 01 R0820</t>
  </si>
  <si>
    <t>06 4 01 93210</t>
  </si>
  <si>
    <t>Комплекс процессных мероприятий "Выполнение обязательств по предоставлению жилых помещений детям-сиротам и детям, оставшимся без попечения родителей, лиц из их числа по договорам найма специализированных жилых помещений"</t>
  </si>
  <si>
    <t>06 5 02 00000</t>
  </si>
  <si>
    <t>Сезонная подготовка объектов к отопительному периоду</t>
  </si>
  <si>
    <t>Замена ветхих и аварийных сетей, объектов централизованного водоснабжения, водоотведения и теплоснабжения,объектов электроэнергетики</t>
  </si>
  <si>
    <t>Содержание объектов централизованного водоотведения (пос. Новонежино)</t>
  </si>
  <si>
    <t>Установка резервных источников электроснабжения</t>
  </si>
  <si>
    <t>06 5 02 20100</t>
  </si>
  <si>
    <t>06 5 02 20110</t>
  </si>
  <si>
    <t>06 5 02 20140</t>
  </si>
  <si>
    <t>06 5 02 20190</t>
  </si>
  <si>
    <t>Комплекс процессных мероприятий "Улучшение состояния объектов коммунальной инфраструктуры"</t>
  </si>
  <si>
    <t>Комплекс процессных мероприятий "Поддержка организаций коммунального хозяйства"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</si>
  <si>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"Стадион на 300 мест а пгт. Шкотово Шкотовского округа Приморского края"</t>
  </si>
  <si>
    <t>0705</t>
  </si>
  <si>
    <t>Профессиональная подготовка, переподготовка и повышение квалификации</t>
  </si>
  <si>
    <t>Расходы на организацию профессиональной подготовки, переподготовки и  повышения квалификации</t>
  </si>
  <si>
    <t>99 9 99 20400</t>
  </si>
  <si>
    <t>07 1 0100000</t>
  </si>
  <si>
    <t>Основное мероприятие "Развитие материально-технической базы для защиты населения и территории от чрезвычайных ситуаций"</t>
  </si>
  <si>
    <t>07 1 01 20230</t>
  </si>
  <si>
    <t>Установка ограждения территории пожарного бокса с. Романовка</t>
  </si>
  <si>
    <t>Содержание муниципального жилья Шкотовского муниципального округа</t>
  </si>
  <si>
    <t>Содержание и обслуживание казны Шкотовского муниципального округа</t>
  </si>
  <si>
    <t>06 5 02 60020</t>
  </si>
  <si>
    <t>20 4 01 20250</t>
  </si>
  <si>
    <t>Мероприятия по озеленению территории пгт. Смолояниново</t>
  </si>
  <si>
    <t>Софинансирование из местного бюджета на hеализаци. проектов инициативного бюджетирования по направлению "Твой проект" ("Радость детям -Шаг в будущее!!!" пгт Смоляниново)</t>
  </si>
  <si>
    <t>Реализация проектов инициативного бюджетирования по направлению "Твой проект" ("Радость детям -Шаг в будущее!!!" пгт Смоляниново)</t>
  </si>
  <si>
    <t>Реализация проектов инициативного бюджетирования по направлению "Твой проект" (Парк Культуры и спорта с. Стеклянуха)</t>
  </si>
  <si>
    <t>Софинансирование из местного бюджета на реализацию проектов инициативного бюджетирования по направлению "Твой проект" (Парк Культуры и спорта с. Стеклянуха)</t>
  </si>
  <si>
    <t>99 9 99 20440</t>
  </si>
  <si>
    <t>20 1 00 00000</t>
  </si>
  <si>
    <t>Подпрограмма Формирование современной городской среды Шкотовского муниципального округа</t>
  </si>
  <si>
    <t>Региональный проект "Формирование комфортной городской среды"</t>
  </si>
  <si>
    <t>20 1 И4 00000</t>
  </si>
  <si>
    <t>Реализация программ формирования современной городской среды</t>
  </si>
  <si>
    <t>20 1 И4 55550</t>
  </si>
  <si>
    <t>Софинансирование из местного бюджета на реализацию программ формирования современной городской среды</t>
  </si>
  <si>
    <t>Иные выплаты населению</t>
  </si>
  <si>
    <t>Субсидии на возмещение фактических затрат, возникших в связи с проведением капитального ремонта систем теплоснабжения, закрепленных на праве хозяйственного ведения</t>
  </si>
  <si>
    <t>05 3 01 40010</t>
  </si>
  <si>
    <t>Проектно-изыскательные работы по строительству объекта "Культурно-досуговый центр" в пгт Шкотово Шкотовского муниципального округа"</t>
  </si>
  <si>
    <t>Реализация проектов инициативного бюджетирования по направлению "Молодежный бюджет" ("Парадный вход школы" МБОУ "СОШ № 27 пгт Смоляниново")</t>
  </si>
  <si>
    <t>Реализация проектов инициативного бюджетирования по направлению "Молодежный бюджет" ("Школьный двор" МБОУ "СОШ № 1 пгт Шкотово")</t>
  </si>
  <si>
    <t>Софинансирование из местного бюджета на реализацию проектов инициативного бюджетирования по направлению "Молодежный бюджет" ("Парадный вход школы" МБОУ "СОШ № 27 пгт Смоляниново")</t>
  </si>
  <si>
    <t>Софинансирование из местного бюджета на реализацию проектов инициативного бюджетирования по направлению "Молодежный бюджет" "Школьный двор" МБОУ "СОШ № 1 пгт Шкотово")</t>
  </si>
  <si>
    <t>Реализация национальных и региональных проектов</t>
  </si>
  <si>
    <t>Региональный проект "Педагоги и наставники"</t>
  </si>
  <si>
    <t>02 6 Ю6 00000</t>
  </si>
  <si>
    <t>02 6 Ю6 51790</t>
  </si>
  <si>
    <t>02 6 Ю6 53030</t>
  </si>
  <si>
    <t>02 6 Ю6 50500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</si>
  <si>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</si>
  <si>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02 6 Ю6 93140</t>
  </si>
  <si>
    <t>360</t>
  </si>
  <si>
    <t>12 2 И8 SД002</t>
  </si>
  <si>
    <t>12 2 И8 00000</t>
  </si>
  <si>
    <t>Капитальный ремонт и ремонт автомобильных дорог местного значения в рамках регионального проекта "Региональная и местная дорожная сеть"</t>
  </si>
  <si>
    <t>Софинансирование с местного бюджета на капитальный ремонт и ремонт автомобильных дорог местного значения в рамках регионального проекта "Региональная и местная дорожная сеть"</t>
  </si>
  <si>
    <t>Судебная система</t>
  </si>
  <si>
    <t>Приложение № 4</t>
  </si>
  <si>
    <t>(в рублях)</t>
  </si>
  <si>
    <t>Отклонения от плана с учетом внесенных изменений  (+,-)</t>
  </si>
  <si>
    <t>% исполнения от первоначального плана</t>
  </si>
  <si>
    <t>% исполнения от плана с учетом внесенных изменений</t>
  </si>
  <si>
    <t>Пояснения от плана с учетом внесенных изменений (отклонения 5%)</t>
  </si>
  <si>
    <t>9=7-8</t>
  </si>
  <si>
    <t>10=8/6*100</t>
  </si>
  <si>
    <t>от______2025 г. №_____</t>
  </si>
  <si>
    <t>Первоначальный бюджет на 2025 год (№ 32-МПА от 24.12.2024)</t>
  </si>
  <si>
    <t>06 6 01 S2100</t>
  </si>
  <si>
    <t>Основное мероприятие "Поддержка муниципальных программ в сфере водоснабжения, водоотведения и водоочистки"</t>
  </si>
  <si>
    <t>беспечение земельных участков, предоставленных на бесплатной основе гражданам, имеющим трех и более детей, инженерной инфраструктурой</t>
  </si>
  <si>
    <t>-</t>
  </si>
  <si>
    <t>Исполнено на 01 апреля</t>
  </si>
  <si>
    <t xml:space="preserve">Отчет об исполнении расходной части бюджета Шкотовского муниципального округа на 01 апреля 2025 года  в ведомственной структуре расходов бюджета </t>
  </si>
  <si>
    <t>Назначено с учетом внесенных изменений на 2025 год (март 2025) Решение №03-МПА от 25.03.2025</t>
  </si>
  <si>
    <t>11=8/7*100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</si>
</sst>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0.000"/>
    <numFmt numFmtId="167" formatCode="0.00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Fill="1"/>
    <xf numFmtId="0" fontId="0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wrapText="1"/>
    </xf>
    <xf numFmtId="0" fontId="0" fillId="0" borderId="0" xfId="0" applyNumberFormat="1" applyFont="1" applyFill="1"/>
    <xf numFmtId="4" fontId="3" fillId="0" borderId="0" xfId="0" applyNumberFormat="1" applyFont="1" applyFill="1" applyAlignment="1">
      <alignment wrapText="1"/>
    </xf>
    <xf numFmtId="0" fontId="3" fillId="0" borderId="0" xfId="0" applyNumberFormat="1" applyFont="1" applyFill="1"/>
    <xf numFmtId="0" fontId="3" fillId="0" borderId="0" xfId="0" applyFont="1" applyFill="1"/>
    <xf numFmtId="0" fontId="4" fillId="0" borderId="0" xfId="0" applyNumberFormat="1" applyFont="1" applyFill="1"/>
    <xf numFmtId="0" fontId="4" fillId="0" borderId="0" xfId="0" applyFont="1" applyFill="1"/>
    <xf numFmtId="0" fontId="3" fillId="0" borderId="0" xfId="0" applyNumberFormat="1" applyFont="1" applyFill="1" applyAlignment="1">
      <alignment wrapText="1"/>
    </xf>
    <xf numFmtId="2" fontId="3" fillId="0" borderId="0" xfId="0" applyNumberFormat="1" applyFont="1" applyFill="1" applyAlignment="1">
      <alignment vertical="top"/>
    </xf>
    <xf numFmtId="2" fontId="0" fillId="0" borderId="0" xfId="0" applyNumberFormat="1" applyFont="1" applyFill="1" applyAlignment="1">
      <alignment vertical="top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5" fillId="0" borderId="2" xfId="3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NumberFormat="1" applyFont="1" applyFill="1"/>
    <xf numFmtId="0" fontId="5" fillId="0" borderId="5" xfId="2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11" fontId="2" fillId="0" borderId="2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2" fontId="10" fillId="0" borderId="0" xfId="0" applyNumberFormat="1" applyFont="1" applyFill="1" applyAlignment="1">
      <alignment horizontal="center" vertical="center" wrapText="1"/>
    </xf>
  </cellXfs>
  <cellStyles count="4">
    <cellStyle name="xl33" xfId="1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8"/>
  <sheetViews>
    <sheetView showGridLines="0" tabSelected="1" view="pageBreakPreview" zoomScale="70" zoomScaleNormal="110" zoomScaleSheetLayoutView="70" workbookViewId="0">
      <selection activeCell="H7" sqref="H7"/>
    </sheetView>
  </sheetViews>
  <sheetFormatPr defaultColWidth="8.88671875" defaultRowHeight="13.2" outlineLevelRow="5" x14ac:dyDescent="0.25"/>
  <cols>
    <col min="1" max="1" width="53.44140625" style="1" customWidth="1"/>
    <col min="2" max="2" width="11.33203125" style="1" customWidth="1"/>
    <col min="3" max="3" width="11.6640625" style="1" customWidth="1"/>
    <col min="4" max="4" width="15.88671875" style="1" customWidth="1"/>
    <col min="5" max="5" width="12.5546875" style="1" customWidth="1"/>
    <col min="6" max="6" width="20.5546875" style="1" customWidth="1"/>
    <col min="7" max="7" width="21.5546875" style="12" customWidth="1"/>
    <col min="8" max="8" width="23.88671875" style="1" customWidth="1"/>
    <col min="9" max="9" width="24" style="2" customWidth="1"/>
    <col min="10" max="10" width="23.77734375" style="3" customWidth="1"/>
    <col min="11" max="11" width="22.5546875" style="1" customWidth="1"/>
    <col min="12" max="12" width="21.21875" style="1" hidden="1" customWidth="1"/>
    <col min="13" max="13" width="13.88671875" style="1" customWidth="1"/>
    <col min="14" max="14" width="10.109375" style="4" bestFit="1" customWidth="1"/>
    <col min="15" max="16384" width="8.88671875" style="1"/>
  </cols>
  <sheetData>
    <row r="1" spans="1:14" ht="28.2" customHeight="1" x14ac:dyDescent="0.25">
      <c r="I1" s="1"/>
      <c r="J1" s="87" t="s">
        <v>655</v>
      </c>
      <c r="K1" s="87"/>
      <c r="L1" s="87"/>
    </row>
    <row r="2" spans="1:14" ht="32.700000000000003" customHeight="1" x14ac:dyDescent="0.25">
      <c r="I2" s="1"/>
      <c r="J2" s="87" t="s">
        <v>90</v>
      </c>
      <c r="K2" s="87"/>
      <c r="L2" s="87"/>
    </row>
    <row r="3" spans="1:14" ht="19.95" customHeight="1" x14ac:dyDescent="0.25">
      <c r="I3" s="1"/>
      <c r="J3" s="87" t="s">
        <v>441</v>
      </c>
      <c r="K3" s="87"/>
      <c r="L3" s="87"/>
    </row>
    <row r="4" spans="1:14" ht="14.7" customHeight="1" x14ac:dyDescent="0.25">
      <c r="I4" s="1"/>
      <c r="J4" s="87" t="s">
        <v>663</v>
      </c>
      <c r="K4" s="87"/>
      <c r="L4" s="87"/>
    </row>
    <row r="5" spans="1:14" s="31" customFormat="1" ht="40.200000000000003" customHeight="1" x14ac:dyDescent="0.3">
      <c r="A5" s="88" t="s">
        <v>670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N5" s="32"/>
    </row>
    <row r="6" spans="1:14" s="31" customFormat="1" ht="24" customHeight="1" thickBot="1" x14ac:dyDescent="0.35">
      <c r="A6" s="53"/>
      <c r="B6" s="53"/>
      <c r="C6" s="53"/>
      <c r="D6" s="53"/>
      <c r="E6" s="53"/>
      <c r="G6" s="7"/>
      <c r="H6" s="7"/>
      <c r="I6" s="7"/>
      <c r="J6" s="13"/>
      <c r="K6" s="14"/>
      <c r="L6" s="14" t="s">
        <v>656</v>
      </c>
      <c r="N6" s="32"/>
    </row>
    <row r="7" spans="1:14" s="31" customFormat="1" ht="93.6" x14ac:dyDescent="0.3">
      <c r="A7" s="82" t="s">
        <v>36</v>
      </c>
      <c r="B7" s="83" t="s">
        <v>54</v>
      </c>
      <c r="C7" s="83" t="s">
        <v>67</v>
      </c>
      <c r="D7" s="83" t="s">
        <v>37</v>
      </c>
      <c r="E7" s="83" t="s">
        <v>38</v>
      </c>
      <c r="F7" s="84" t="s">
        <v>664</v>
      </c>
      <c r="G7" s="85" t="s">
        <v>671</v>
      </c>
      <c r="H7" s="83" t="s">
        <v>669</v>
      </c>
      <c r="I7" s="83" t="s">
        <v>657</v>
      </c>
      <c r="J7" s="86" t="s">
        <v>658</v>
      </c>
      <c r="K7" s="16" t="s">
        <v>659</v>
      </c>
      <c r="L7" s="16" t="s">
        <v>660</v>
      </c>
      <c r="N7" s="32"/>
    </row>
    <row r="8" spans="1:14" s="31" customFormat="1" ht="18" customHeight="1" x14ac:dyDescent="0.3">
      <c r="A8" s="30">
        <v>1</v>
      </c>
      <c r="B8" s="17">
        <v>2</v>
      </c>
      <c r="C8" s="17">
        <v>3</v>
      </c>
      <c r="D8" s="17">
        <v>4</v>
      </c>
      <c r="E8" s="17">
        <v>5</v>
      </c>
      <c r="F8" s="18">
        <v>6</v>
      </c>
      <c r="G8" s="17">
        <v>7</v>
      </c>
      <c r="H8" s="18">
        <v>8</v>
      </c>
      <c r="I8" s="17" t="s">
        <v>661</v>
      </c>
      <c r="J8" s="18" t="s">
        <v>662</v>
      </c>
      <c r="K8" s="17" t="s">
        <v>672</v>
      </c>
      <c r="L8" s="17">
        <v>13</v>
      </c>
      <c r="N8" s="32"/>
    </row>
    <row r="9" spans="1:14" s="7" customFormat="1" ht="31.2" x14ac:dyDescent="0.25">
      <c r="A9" s="54" t="s">
        <v>436</v>
      </c>
      <c r="B9" s="55">
        <v>991</v>
      </c>
      <c r="C9" s="56" t="s">
        <v>28</v>
      </c>
      <c r="D9" s="55" t="s">
        <v>154</v>
      </c>
      <c r="E9" s="56" t="s">
        <v>27</v>
      </c>
      <c r="F9" s="19">
        <f>F10</f>
        <v>2854570.24</v>
      </c>
      <c r="G9" s="19">
        <f t="shared" ref="G9:H12" si="0">G10</f>
        <v>2854570.24</v>
      </c>
      <c r="H9" s="19">
        <f t="shared" si="0"/>
        <v>690221.93</v>
      </c>
      <c r="I9" s="19">
        <f>$G9-$H9</f>
        <v>2164348.31</v>
      </c>
      <c r="J9" s="19">
        <f>$H9/$F9*100</f>
        <v>24.18</v>
      </c>
      <c r="K9" s="19">
        <f>$H9/$G9*100</f>
        <v>24.18</v>
      </c>
      <c r="L9" s="19"/>
      <c r="M9" s="35"/>
      <c r="N9" s="35"/>
    </row>
    <row r="10" spans="1:14" s="7" customFormat="1" ht="15.6" x14ac:dyDescent="0.25">
      <c r="A10" s="54" t="s">
        <v>29</v>
      </c>
      <c r="B10" s="55">
        <v>991</v>
      </c>
      <c r="C10" s="56" t="s">
        <v>51</v>
      </c>
      <c r="D10" s="55" t="s">
        <v>154</v>
      </c>
      <c r="E10" s="56" t="s">
        <v>27</v>
      </c>
      <c r="F10" s="19">
        <f>F11</f>
        <v>2854570.24</v>
      </c>
      <c r="G10" s="19">
        <f t="shared" si="0"/>
        <v>2854570.24</v>
      </c>
      <c r="H10" s="19">
        <f t="shared" si="0"/>
        <v>690221.93</v>
      </c>
      <c r="I10" s="19">
        <f t="shared" ref="I10:I73" si="1">$G10-$H10</f>
        <v>2164348.31</v>
      </c>
      <c r="J10" s="19">
        <f t="shared" ref="J10:J73" si="2">$H10/$F10*100</f>
        <v>24.18</v>
      </c>
      <c r="K10" s="19">
        <f t="shared" ref="K10:K73" si="3">$H10/$G10*100</f>
        <v>24.18</v>
      </c>
      <c r="L10" s="19"/>
      <c r="M10" s="35"/>
      <c r="N10" s="35"/>
    </row>
    <row r="11" spans="1:14" s="7" customFormat="1" ht="46.8" x14ac:dyDescent="0.25">
      <c r="A11" s="30" t="s">
        <v>64</v>
      </c>
      <c r="B11" s="17">
        <v>991</v>
      </c>
      <c r="C11" s="34" t="s">
        <v>58</v>
      </c>
      <c r="D11" s="17" t="s">
        <v>154</v>
      </c>
      <c r="E11" s="34" t="s">
        <v>27</v>
      </c>
      <c r="F11" s="20">
        <f>F12</f>
        <v>2854570.24</v>
      </c>
      <c r="G11" s="20">
        <f t="shared" si="0"/>
        <v>2854570.24</v>
      </c>
      <c r="H11" s="20">
        <f t="shared" si="0"/>
        <v>690221.93</v>
      </c>
      <c r="I11" s="20">
        <f t="shared" si="1"/>
        <v>2164348.31</v>
      </c>
      <c r="J11" s="20">
        <f t="shared" si="2"/>
        <v>24.18</v>
      </c>
      <c r="K11" s="20">
        <f t="shared" si="3"/>
        <v>24.18</v>
      </c>
      <c r="L11" s="20"/>
      <c r="M11" s="35"/>
      <c r="N11" s="35"/>
    </row>
    <row r="12" spans="1:14" s="7" customFormat="1" ht="46.8" x14ac:dyDescent="0.25">
      <c r="A12" s="57" t="s">
        <v>320</v>
      </c>
      <c r="B12" s="17">
        <v>991</v>
      </c>
      <c r="C12" s="34" t="s">
        <v>58</v>
      </c>
      <c r="D12" s="17" t="s">
        <v>155</v>
      </c>
      <c r="E12" s="34" t="s">
        <v>27</v>
      </c>
      <c r="F12" s="20">
        <f>F13</f>
        <v>2854570.24</v>
      </c>
      <c r="G12" s="20">
        <f t="shared" si="0"/>
        <v>2854570.24</v>
      </c>
      <c r="H12" s="20">
        <f t="shared" si="0"/>
        <v>690221.93</v>
      </c>
      <c r="I12" s="20">
        <f t="shared" si="1"/>
        <v>2164348.31</v>
      </c>
      <c r="J12" s="20">
        <f t="shared" si="2"/>
        <v>24.18</v>
      </c>
      <c r="K12" s="20">
        <f t="shared" si="3"/>
        <v>24.18</v>
      </c>
      <c r="L12" s="20"/>
      <c r="M12" s="35"/>
      <c r="N12" s="35"/>
    </row>
    <row r="13" spans="1:14" s="7" customFormat="1" ht="31.2" x14ac:dyDescent="0.25">
      <c r="A13" s="30" t="s">
        <v>318</v>
      </c>
      <c r="B13" s="17">
        <v>991</v>
      </c>
      <c r="C13" s="34" t="s">
        <v>58</v>
      </c>
      <c r="D13" s="17" t="s">
        <v>256</v>
      </c>
      <c r="E13" s="34" t="s">
        <v>27</v>
      </c>
      <c r="F13" s="20">
        <f>F14+F17</f>
        <v>2854570.24</v>
      </c>
      <c r="G13" s="20">
        <f t="shared" ref="G13:H13" si="4">G14+G17</f>
        <v>2854570.24</v>
      </c>
      <c r="H13" s="20">
        <f t="shared" si="4"/>
        <v>690221.93</v>
      </c>
      <c r="I13" s="20">
        <f t="shared" si="1"/>
        <v>2164348.31</v>
      </c>
      <c r="J13" s="20">
        <f t="shared" si="2"/>
        <v>24.18</v>
      </c>
      <c r="K13" s="20">
        <f t="shared" si="3"/>
        <v>24.18</v>
      </c>
      <c r="L13" s="20"/>
      <c r="M13" s="35"/>
      <c r="N13" s="35"/>
    </row>
    <row r="14" spans="1:14" s="7" customFormat="1" ht="15.6" x14ac:dyDescent="0.25">
      <c r="A14" s="30" t="s">
        <v>319</v>
      </c>
      <c r="B14" s="17">
        <v>991</v>
      </c>
      <c r="C14" s="34" t="s">
        <v>58</v>
      </c>
      <c r="D14" s="17" t="s">
        <v>253</v>
      </c>
      <c r="E14" s="34" t="s">
        <v>27</v>
      </c>
      <c r="F14" s="20">
        <f>F15</f>
        <v>577520.16</v>
      </c>
      <c r="G14" s="20">
        <f t="shared" ref="G14:H15" si="5">G15</f>
        <v>577520.16</v>
      </c>
      <c r="H14" s="20">
        <f t="shared" si="5"/>
        <v>147460.04</v>
      </c>
      <c r="I14" s="20">
        <f t="shared" si="1"/>
        <v>430060.12</v>
      </c>
      <c r="J14" s="20">
        <f t="shared" si="2"/>
        <v>25.53</v>
      </c>
      <c r="K14" s="20">
        <f t="shared" si="3"/>
        <v>25.53</v>
      </c>
      <c r="L14" s="20"/>
      <c r="M14" s="35"/>
      <c r="N14" s="35"/>
    </row>
    <row r="15" spans="1:14" s="7" customFormat="1" ht="31.2" x14ac:dyDescent="0.25">
      <c r="A15" s="30" t="s">
        <v>100</v>
      </c>
      <c r="B15" s="17">
        <v>991</v>
      </c>
      <c r="C15" s="34" t="s">
        <v>58</v>
      </c>
      <c r="D15" s="17" t="s">
        <v>205</v>
      </c>
      <c r="E15" s="34" t="s">
        <v>27</v>
      </c>
      <c r="F15" s="20">
        <f>F16</f>
        <v>577520.16</v>
      </c>
      <c r="G15" s="20">
        <f t="shared" si="5"/>
        <v>577520.16</v>
      </c>
      <c r="H15" s="20">
        <f t="shared" si="5"/>
        <v>147460.04</v>
      </c>
      <c r="I15" s="20">
        <f t="shared" si="1"/>
        <v>430060.12</v>
      </c>
      <c r="J15" s="20">
        <f t="shared" si="2"/>
        <v>25.53</v>
      </c>
      <c r="K15" s="20">
        <f t="shared" si="3"/>
        <v>25.53</v>
      </c>
      <c r="L15" s="20"/>
      <c r="M15" s="35"/>
      <c r="N15" s="35"/>
    </row>
    <row r="16" spans="1:14" s="7" customFormat="1" ht="31.2" x14ac:dyDescent="0.25">
      <c r="A16" s="33" t="s">
        <v>125</v>
      </c>
      <c r="B16" s="17">
        <v>991</v>
      </c>
      <c r="C16" s="34" t="s">
        <v>58</v>
      </c>
      <c r="D16" s="17" t="s">
        <v>205</v>
      </c>
      <c r="E16" s="17">
        <v>240</v>
      </c>
      <c r="F16" s="20">
        <v>577520.16</v>
      </c>
      <c r="G16" s="20">
        <v>577520.16</v>
      </c>
      <c r="H16" s="20">
        <v>147460.04</v>
      </c>
      <c r="I16" s="20">
        <f t="shared" si="1"/>
        <v>430060.12</v>
      </c>
      <c r="J16" s="20">
        <f>$H16/$F16*100</f>
        <v>25.53</v>
      </c>
      <c r="K16" s="20">
        <f t="shared" si="3"/>
        <v>25.53</v>
      </c>
      <c r="L16" s="20"/>
      <c r="M16" s="35"/>
      <c r="N16" s="35"/>
    </row>
    <row r="17" spans="1:14" s="7" customFormat="1" ht="15.6" x14ac:dyDescent="0.25">
      <c r="A17" s="30" t="s">
        <v>101</v>
      </c>
      <c r="B17" s="17">
        <v>991</v>
      </c>
      <c r="C17" s="34" t="s">
        <v>58</v>
      </c>
      <c r="D17" s="17" t="s">
        <v>207</v>
      </c>
      <c r="E17" s="34" t="s">
        <v>27</v>
      </c>
      <c r="F17" s="20">
        <f>F18</f>
        <v>2277050.08</v>
      </c>
      <c r="G17" s="20">
        <f t="shared" ref="G17:H17" si="6">G18</f>
        <v>2277050.08</v>
      </c>
      <c r="H17" s="20">
        <f t="shared" si="6"/>
        <v>542761.89</v>
      </c>
      <c r="I17" s="20">
        <f t="shared" si="1"/>
        <v>1734288.19</v>
      </c>
      <c r="J17" s="20">
        <f t="shared" si="2"/>
        <v>23.84</v>
      </c>
      <c r="K17" s="20">
        <f t="shared" si="3"/>
        <v>23.84</v>
      </c>
      <c r="L17" s="20"/>
      <c r="M17" s="35"/>
      <c r="N17" s="35"/>
    </row>
    <row r="18" spans="1:14" s="7" customFormat="1" ht="31.2" x14ac:dyDescent="0.25">
      <c r="A18" s="30" t="s">
        <v>127</v>
      </c>
      <c r="B18" s="17">
        <v>991</v>
      </c>
      <c r="C18" s="34" t="s">
        <v>58</v>
      </c>
      <c r="D18" s="17" t="s">
        <v>207</v>
      </c>
      <c r="E18" s="34" t="s">
        <v>128</v>
      </c>
      <c r="F18" s="20">
        <v>2277050.08</v>
      </c>
      <c r="G18" s="20">
        <v>2277050.08</v>
      </c>
      <c r="H18" s="20">
        <v>542761.89</v>
      </c>
      <c r="I18" s="20">
        <f t="shared" si="1"/>
        <v>1734288.19</v>
      </c>
      <c r="J18" s="20">
        <f t="shared" si="2"/>
        <v>23.84</v>
      </c>
      <c r="K18" s="20">
        <f t="shared" si="3"/>
        <v>23.84</v>
      </c>
      <c r="L18" s="20"/>
      <c r="M18" s="35"/>
      <c r="N18" s="35"/>
    </row>
    <row r="19" spans="1:14" s="7" customFormat="1" ht="31.2" x14ac:dyDescent="0.25">
      <c r="A19" s="54" t="s">
        <v>437</v>
      </c>
      <c r="B19" s="55">
        <v>992</v>
      </c>
      <c r="C19" s="56" t="s">
        <v>28</v>
      </c>
      <c r="D19" s="55" t="s">
        <v>154</v>
      </c>
      <c r="E19" s="56" t="s">
        <v>27</v>
      </c>
      <c r="F19" s="21">
        <f>F20+F104+F111+F123+F187+F306+F330+F336+F379+F401+F408</f>
        <v>520916559.50999999</v>
      </c>
      <c r="G19" s="21">
        <f t="shared" ref="G19:H19" si="7">G20+G104+G111+G123+G187+G306+G330+G336+G379+G401+G408</f>
        <v>546125408.62</v>
      </c>
      <c r="H19" s="21">
        <f t="shared" si="7"/>
        <v>135711699.27000001</v>
      </c>
      <c r="I19" s="21">
        <f t="shared" si="1"/>
        <v>410413709.35000002</v>
      </c>
      <c r="J19" s="21">
        <f t="shared" si="2"/>
        <v>26.05</v>
      </c>
      <c r="K19" s="21">
        <f t="shared" si="3"/>
        <v>24.85</v>
      </c>
      <c r="L19" s="21"/>
      <c r="M19" s="35"/>
      <c r="N19" s="35"/>
    </row>
    <row r="20" spans="1:14" s="7" customFormat="1" ht="15.6" x14ac:dyDescent="0.25">
      <c r="A20" s="54" t="s">
        <v>29</v>
      </c>
      <c r="B20" s="55">
        <v>992</v>
      </c>
      <c r="C20" s="56" t="s">
        <v>51</v>
      </c>
      <c r="D20" s="55" t="s">
        <v>154</v>
      </c>
      <c r="E20" s="56" t="s">
        <v>27</v>
      </c>
      <c r="F20" s="21">
        <f>F21+F28+F39+F45+F53</f>
        <v>177418526.5</v>
      </c>
      <c r="G20" s="21">
        <f t="shared" ref="G20:H20" si="8">G21+G28+G39+G45+G53</f>
        <v>178805457.96000001</v>
      </c>
      <c r="H20" s="21">
        <f t="shared" si="8"/>
        <v>40565767.25</v>
      </c>
      <c r="I20" s="21">
        <f t="shared" si="1"/>
        <v>138239690.71000001</v>
      </c>
      <c r="J20" s="21">
        <f t="shared" si="2"/>
        <v>22.86</v>
      </c>
      <c r="K20" s="21">
        <f t="shared" si="3"/>
        <v>22.69</v>
      </c>
      <c r="L20" s="21"/>
      <c r="M20" s="35"/>
      <c r="N20" s="35"/>
    </row>
    <row r="21" spans="1:14" s="7" customFormat="1" ht="46.8" x14ac:dyDescent="0.25">
      <c r="A21" s="30" t="s">
        <v>107</v>
      </c>
      <c r="B21" s="17">
        <v>992</v>
      </c>
      <c r="C21" s="34" t="s">
        <v>108</v>
      </c>
      <c r="D21" s="17" t="s">
        <v>154</v>
      </c>
      <c r="E21" s="34" t="s">
        <v>27</v>
      </c>
      <c r="F21" s="20">
        <f>F22</f>
        <v>4044315.13</v>
      </c>
      <c r="G21" s="20">
        <f t="shared" ref="G21:H24" si="9">G22</f>
        <v>4544315.13</v>
      </c>
      <c r="H21" s="20">
        <f t="shared" si="9"/>
        <v>959151.73</v>
      </c>
      <c r="I21" s="20">
        <f t="shared" si="1"/>
        <v>3585163.4</v>
      </c>
      <c r="J21" s="20">
        <f t="shared" si="2"/>
        <v>23.72</v>
      </c>
      <c r="K21" s="20">
        <f t="shared" si="3"/>
        <v>21.11</v>
      </c>
      <c r="L21" s="20"/>
      <c r="M21" s="35"/>
      <c r="N21" s="35"/>
    </row>
    <row r="22" spans="1:14" s="7" customFormat="1" ht="46.8" x14ac:dyDescent="0.25">
      <c r="A22" s="57" t="s">
        <v>320</v>
      </c>
      <c r="B22" s="17">
        <v>992</v>
      </c>
      <c r="C22" s="34" t="s">
        <v>108</v>
      </c>
      <c r="D22" s="17" t="s">
        <v>155</v>
      </c>
      <c r="E22" s="34" t="s">
        <v>27</v>
      </c>
      <c r="F22" s="20">
        <f>F23</f>
        <v>4044315.13</v>
      </c>
      <c r="G22" s="20">
        <f t="shared" si="9"/>
        <v>4544315.13</v>
      </c>
      <c r="H22" s="20">
        <f t="shared" si="9"/>
        <v>959151.73</v>
      </c>
      <c r="I22" s="20">
        <f t="shared" si="1"/>
        <v>3585163.4</v>
      </c>
      <c r="J22" s="20">
        <f t="shared" si="2"/>
        <v>23.72</v>
      </c>
      <c r="K22" s="20">
        <f t="shared" si="3"/>
        <v>21.11</v>
      </c>
      <c r="L22" s="20"/>
      <c r="M22" s="35"/>
      <c r="N22" s="35"/>
    </row>
    <row r="23" spans="1:14" s="7" customFormat="1" ht="31.2" x14ac:dyDescent="0.25">
      <c r="A23" s="30" t="s">
        <v>318</v>
      </c>
      <c r="B23" s="17">
        <v>992</v>
      </c>
      <c r="C23" s="34" t="s">
        <v>108</v>
      </c>
      <c r="D23" s="17" t="s">
        <v>256</v>
      </c>
      <c r="E23" s="34" t="s">
        <v>27</v>
      </c>
      <c r="F23" s="20">
        <f>F24</f>
        <v>4044315.13</v>
      </c>
      <c r="G23" s="20">
        <f t="shared" si="9"/>
        <v>4544315.13</v>
      </c>
      <c r="H23" s="20">
        <f t="shared" si="9"/>
        <v>959151.73</v>
      </c>
      <c r="I23" s="20">
        <f t="shared" si="1"/>
        <v>3585163.4</v>
      </c>
      <c r="J23" s="20">
        <f t="shared" si="2"/>
        <v>23.72</v>
      </c>
      <c r="K23" s="20">
        <f t="shared" si="3"/>
        <v>21.11</v>
      </c>
      <c r="L23" s="20"/>
      <c r="M23" s="35"/>
      <c r="N23" s="35"/>
    </row>
    <row r="24" spans="1:14" s="7" customFormat="1" ht="15.6" x14ac:dyDescent="0.25">
      <c r="A24" s="30" t="s">
        <v>319</v>
      </c>
      <c r="B24" s="17">
        <v>992</v>
      </c>
      <c r="C24" s="34" t="s">
        <v>108</v>
      </c>
      <c r="D24" s="17" t="s">
        <v>253</v>
      </c>
      <c r="E24" s="34" t="s">
        <v>27</v>
      </c>
      <c r="F24" s="20">
        <f>F25</f>
        <v>4044315.13</v>
      </c>
      <c r="G24" s="20">
        <f t="shared" si="9"/>
        <v>4544315.13</v>
      </c>
      <c r="H24" s="20">
        <f t="shared" si="9"/>
        <v>959151.73</v>
      </c>
      <c r="I24" s="20">
        <f t="shared" si="1"/>
        <v>3585163.4</v>
      </c>
      <c r="J24" s="20">
        <f t="shared" si="2"/>
        <v>23.72</v>
      </c>
      <c r="K24" s="20">
        <f t="shared" si="3"/>
        <v>21.11</v>
      </c>
      <c r="L24" s="20"/>
      <c r="M24" s="35"/>
      <c r="N24" s="35"/>
    </row>
    <row r="25" spans="1:14" s="7" customFormat="1" ht="15.6" x14ac:dyDescent="0.25">
      <c r="A25" s="30" t="s">
        <v>402</v>
      </c>
      <c r="B25" s="17">
        <v>992</v>
      </c>
      <c r="C25" s="34" t="s">
        <v>108</v>
      </c>
      <c r="D25" s="17" t="s">
        <v>204</v>
      </c>
      <c r="E25" s="34" t="s">
        <v>27</v>
      </c>
      <c r="F25" s="20">
        <f>F26+F27</f>
        <v>4044315.13</v>
      </c>
      <c r="G25" s="20">
        <f t="shared" ref="G25:H25" si="10">G26+G27</f>
        <v>4544315.13</v>
      </c>
      <c r="H25" s="20">
        <f t="shared" si="10"/>
        <v>959151.73</v>
      </c>
      <c r="I25" s="20">
        <f t="shared" si="1"/>
        <v>3585163.4</v>
      </c>
      <c r="J25" s="20">
        <f t="shared" si="2"/>
        <v>23.72</v>
      </c>
      <c r="K25" s="20">
        <f t="shared" si="3"/>
        <v>21.11</v>
      </c>
      <c r="L25" s="20"/>
      <c r="M25" s="35"/>
      <c r="N25" s="35"/>
    </row>
    <row r="26" spans="1:14" s="9" customFormat="1" ht="31.2" x14ac:dyDescent="0.3">
      <c r="A26" s="30" t="s">
        <v>127</v>
      </c>
      <c r="B26" s="17">
        <v>992</v>
      </c>
      <c r="C26" s="34" t="s">
        <v>108</v>
      </c>
      <c r="D26" s="17" t="s">
        <v>204</v>
      </c>
      <c r="E26" s="17">
        <v>120</v>
      </c>
      <c r="F26" s="20">
        <f>4044315.13</f>
        <v>4044315.13</v>
      </c>
      <c r="G26" s="20">
        <f t="shared" ref="G26" si="11">4044315.13+500000</f>
        <v>4544315.13</v>
      </c>
      <c r="H26" s="20">
        <v>959151.73</v>
      </c>
      <c r="I26" s="20">
        <f t="shared" si="1"/>
        <v>3585163.4</v>
      </c>
      <c r="J26" s="20">
        <f t="shared" si="2"/>
        <v>23.72</v>
      </c>
      <c r="K26" s="20">
        <f t="shared" si="3"/>
        <v>21.11</v>
      </c>
      <c r="L26" s="20"/>
      <c r="M26" s="35"/>
      <c r="N26" s="35"/>
    </row>
    <row r="27" spans="1:14" s="9" customFormat="1" ht="31.2" x14ac:dyDescent="0.3">
      <c r="A27" s="30" t="s">
        <v>125</v>
      </c>
      <c r="B27" s="17">
        <v>992</v>
      </c>
      <c r="C27" s="34" t="s">
        <v>108</v>
      </c>
      <c r="D27" s="17" t="s">
        <v>204</v>
      </c>
      <c r="E27" s="17">
        <v>240</v>
      </c>
      <c r="F27" s="20">
        <v>0</v>
      </c>
      <c r="G27" s="20">
        <v>0</v>
      </c>
      <c r="H27" s="20">
        <v>0</v>
      </c>
      <c r="I27" s="20">
        <f t="shared" si="1"/>
        <v>0</v>
      </c>
      <c r="J27" s="20" t="s">
        <v>668</v>
      </c>
      <c r="K27" s="20" t="s">
        <v>668</v>
      </c>
      <c r="L27" s="20"/>
      <c r="M27" s="35"/>
      <c r="N27" s="35"/>
    </row>
    <row r="28" spans="1:14" s="9" customFormat="1" ht="46.8" x14ac:dyDescent="0.3">
      <c r="A28" s="30" t="s">
        <v>109</v>
      </c>
      <c r="B28" s="17">
        <v>992</v>
      </c>
      <c r="C28" s="34" t="s">
        <v>57</v>
      </c>
      <c r="D28" s="17" t="s">
        <v>154</v>
      </c>
      <c r="E28" s="34" t="s">
        <v>27</v>
      </c>
      <c r="F28" s="20">
        <f>F29</f>
        <v>139140172.37</v>
      </c>
      <c r="G28" s="20">
        <f t="shared" ref="G28:H30" si="12">G29</f>
        <v>142663191.69999999</v>
      </c>
      <c r="H28" s="20">
        <f t="shared" si="12"/>
        <v>35277641.149999999</v>
      </c>
      <c r="I28" s="20">
        <f t="shared" si="1"/>
        <v>107385550.55</v>
      </c>
      <c r="J28" s="20">
        <f t="shared" si="2"/>
        <v>25.35</v>
      </c>
      <c r="K28" s="20">
        <f t="shared" si="3"/>
        <v>24.73</v>
      </c>
      <c r="L28" s="20"/>
      <c r="M28" s="35"/>
      <c r="N28" s="35"/>
    </row>
    <row r="29" spans="1:14" s="9" customFormat="1" ht="46.8" x14ac:dyDescent="0.3">
      <c r="A29" s="57" t="s">
        <v>320</v>
      </c>
      <c r="B29" s="17">
        <v>992</v>
      </c>
      <c r="C29" s="34" t="s">
        <v>57</v>
      </c>
      <c r="D29" s="17" t="s">
        <v>155</v>
      </c>
      <c r="E29" s="34" t="s">
        <v>27</v>
      </c>
      <c r="F29" s="20">
        <f>F30</f>
        <v>139140172.37</v>
      </c>
      <c r="G29" s="20">
        <f t="shared" si="12"/>
        <v>142663191.69999999</v>
      </c>
      <c r="H29" s="20">
        <f t="shared" si="12"/>
        <v>35277641.149999999</v>
      </c>
      <c r="I29" s="20">
        <f t="shared" si="1"/>
        <v>107385550.55</v>
      </c>
      <c r="J29" s="20">
        <f t="shared" si="2"/>
        <v>25.35</v>
      </c>
      <c r="K29" s="20">
        <f t="shared" si="3"/>
        <v>24.73</v>
      </c>
      <c r="L29" s="20"/>
      <c r="M29" s="35"/>
      <c r="N29" s="35"/>
    </row>
    <row r="30" spans="1:14" s="7" customFormat="1" ht="31.2" x14ac:dyDescent="0.25">
      <c r="A30" s="30" t="s">
        <v>318</v>
      </c>
      <c r="B30" s="17">
        <v>992</v>
      </c>
      <c r="C30" s="34" t="s">
        <v>57</v>
      </c>
      <c r="D30" s="17" t="s">
        <v>256</v>
      </c>
      <c r="E30" s="34" t="s">
        <v>27</v>
      </c>
      <c r="F30" s="20">
        <f>F31</f>
        <v>139140172.37</v>
      </c>
      <c r="G30" s="20">
        <f t="shared" si="12"/>
        <v>142663191.69999999</v>
      </c>
      <c r="H30" s="20">
        <f t="shared" si="12"/>
        <v>35277641.149999999</v>
      </c>
      <c r="I30" s="20">
        <f t="shared" si="1"/>
        <v>107385550.55</v>
      </c>
      <c r="J30" s="20">
        <f t="shared" si="2"/>
        <v>25.35</v>
      </c>
      <c r="K30" s="20">
        <f t="shared" si="3"/>
        <v>24.73</v>
      </c>
      <c r="L30" s="20"/>
      <c r="M30" s="35"/>
      <c r="N30" s="35"/>
    </row>
    <row r="31" spans="1:14" s="7" customFormat="1" ht="15.6" x14ac:dyDescent="0.25">
      <c r="A31" s="30" t="s">
        <v>319</v>
      </c>
      <c r="B31" s="17">
        <v>992</v>
      </c>
      <c r="C31" s="34" t="s">
        <v>57</v>
      </c>
      <c r="D31" s="17" t="s">
        <v>253</v>
      </c>
      <c r="E31" s="34" t="s">
        <v>27</v>
      </c>
      <c r="F31" s="20">
        <f>F32+F36</f>
        <v>139140172.37</v>
      </c>
      <c r="G31" s="20">
        <f t="shared" ref="G31:H31" si="13">G32+G36</f>
        <v>142663191.69999999</v>
      </c>
      <c r="H31" s="20">
        <f t="shared" si="13"/>
        <v>35277641.149999999</v>
      </c>
      <c r="I31" s="20">
        <f t="shared" si="1"/>
        <v>107385550.55</v>
      </c>
      <c r="J31" s="20">
        <f t="shared" si="2"/>
        <v>25.35</v>
      </c>
      <c r="K31" s="20">
        <f t="shared" si="3"/>
        <v>24.73</v>
      </c>
      <c r="L31" s="20"/>
      <c r="M31" s="35"/>
      <c r="N31" s="35"/>
    </row>
    <row r="32" spans="1:14" s="7" customFormat="1" ht="31.2" x14ac:dyDescent="0.25">
      <c r="A32" s="30" t="s">
        <v>100</v>
      </c>
      <c r="B32" s="17">
        <v>992</v>
      </c>
      <c r="C32" s="34" t="s">
        <v>57</v>
      </c>
      <c r="D32" s="17" t="s">
        <v>205</v>
      </c>
      <c r="E32" s="34" t="s">
        <v>27</v>
      </c>
      <c r="F32" s="22">
        <f>F33+F34+F35</f>
        <v>139140172.37</v>
      </c>
      <c r="G32" s="22">
        <f t="shared" ref="G32:H32" si="14">G33+G34+G35</f>
        <v>142364150.69999999</v>
      </c>
      <c r="H32" s="22">
        <f t="shared" si="14"/>
        <v>34978600.149999999</v>
      </c>
      <c r="I32" s="22">
        <f t="shared" si="1"/>
        <v>107385550.55</v>
      </c>
      <c r="J32" s="22">
        <f t="shared" si="2"/>
        <v>25.14</v>
      </c>
      <c r="K32" s="22">
        <f t="shared" si="3"/>
        <v>24.57</v>
      </c>
      <c r="L32" s="22"/>
      <c r="M32" s="35"/>
      <c r="N32" s="35"/>
    </row>
    <row r="33" spans="1:14" s="7" customFormat="1" ht="31.2" x14ac:dyDescent="0.25">
      <c r="A33" s="30" t="s">
        <v>127</v>
      </c>
      <c r="B33" s="17">
        <v>992</v>
      </c>
      <c r="C33" s="34" t="s">
        <v>57</v>
      </c>
      <c r="D33" s="17" t="s">
        <v>205</v>
      </c>
      <c r="E33" s="17">
        <v>120</v>
      </c>
      <c r="F33" s="22">
        <f>136669172.37</f>
        <v>136669172.37</v>
      </c>
      <c r="G33" s="22">
        <f t="shared" ref="G33" si="15">136669172.37+300000</f>
        <v>136969172.37</v>
      </c>
      <c r="H33" s="22">
        <v>30777075.899999999</v>
      </c>
      <c r="I33" s="22">
        <f t="shared" si="1"/>
        <v>106192096.47</v>
      </c>
      <c r="J33" s="22">
        <f t="shared" si="2"/>
        <v>22.52</v>
      </c>
      <c r="K33" s="22">
        <f t="shared" si="3"/>
        <v>22.47</v>
      </c>
      <c r="L33" s="22"/>
      <c r="M33" s="35"/>
      <c r="N33" s="35"/>
    </row>
    <row r="34" spans="1:14" s="7" customFormat="1" ht="31.2" x14ac:dyDescent="0.25">
      <c r="A34" s="33" t="s">
        <v>125</v>
      </c>
      <c r="B34" s="17">
        <v>992</v>
      </c>
      <c r="C34" s="34" t="s">
        <v>57</v>
      </c>
      <c r="D34" s="17" t="s">
        <v>205</v>
      </c>
      <c r="E34" s="17">
        <v>240</v>
      </c>
      <c r="F34" s="22">
        <f>2340000</f>
        <v>2340000</v>
      </c>
      <c r="G34" s="22">
        <f t="shared" ref="G34" si="16">2340000+2923978.33</f>
        <v>5263978.33</v>
      </c>
      <c r="H34" s="22">
        <v>4121700.13</v>
      </c>
      <c r="I34" s="22">
        <f t="shared" si="1"/>
        <v>1142278.2</v>
      </c>
      <c r="J34" s="22">
        <f t="shared" si="2"/>
        <v>176.14</v>
      </c>
      <c r="K34" s="22">
        <f t="shared" si="3"/>
        <v>78.3</v>
      </c>
      <c r="L34" s="22"/>
      <c r="M34" s="35"/>
      <c r="N34" s="35"/>
    </row>
    <row r="35" spans="1:14" s="7" customFormat="1" ht="15.6" x14ac:dyDescent="0.25">
      <c r="A35" s="33" t="s">
        <v>129</v>
      </c>
      <c r="B35" s="17">
        <v>992</v>
      </c>
      <c r="C35" s="34" t="s">
        <v>57</v>
      </c>
      <c r="D35" s="17" t="s">
        <v>205</v>
      </c>
      <c r="E35" s="17">
        <v>850</v>
      </c>
      <c r="F35" s="22">
        <v>131000</v>
      </c>
      <c r="G35" s="22">
        <v>131000</v>
      </c>
      <c r="H35" s="22">
        <v>79824.12</v>
      </c>
      <c r="I35" s="22">
        <f t="shared" si="1"/>
        <v>51175.88</v>
      </c>
      <c r="J35" s="22">
        <f t="shared" si="2"/>
        <v>60.93</v>
      </c>
      <c r="K35" s="22">
        <f t="shared" si="3"/>
        <v>60.93</v>
      </c>
      <c r="L35" s="22"/>
      <c r="M35" s="35"/>
      <c r="N35" s="35"/>
    </row>
    <row r="36" spans="1:14" s="7" customFormat="1" ht="31.2" x14ac:dyDescent="0.25">
      <c r="A36" s="30" t="s">
        <v>563</v>
      </c>
      <c r="B36" s="17">
        <v>992</v>
      </c>
      <c r="C36" s="34" t="s">
        <v>57</v>
      </c>
      <c r="D36" s="17" t="s">
        <v>208</v>
      </c>
      <c r="E36" s="34" t="s">
        <v>27</v>
      </c>
      <c r="F36" s="22">
        <f>F37+F38</f>
        <v>0</v>
      </c>
      <c r="G36" s="22">
        <f t="shared" ref="G36:H36" si="17">G37+G38</f>
        <v>299041</v>
      </c>
      <c r="H36" s="22">
        <f t="shared" si="17"/>
        <v>299041</v>
      </c>
      <c r="I36" s="22">
        <f t="shared" si="1"/>
        <v>0</v>
      </c>
      <c r="J36" s="22" t="s">
        <v>668</v>
      </c>
      <c r="K36" s="22">
        <f t="shared" si="3"/>
        <v>100</v>
      </c>
      <c r="L36" s="22"/>
      <c r="M36" s="35"/>
      <c r="N36" s="35"/>
    </row>
    <row r="37" spans="1:14" s="7" customFormat="1" ht="31.2" x14ac:dyDescent="0.25">
      <c r="A37" s="30" t="s">
        <v>125</v>
      </c>
      <c r="B37" s="17">
        <v>992</v>
      </c>
      <c r="C37" s="34" t="s">
        <v>57</v>
      </c>
      <c r="D37" s="17" t="s">
        <v>208</v>
      </c>
      <c r="E37" s="17">
        <v>240</v>
      </c>
      <c r="F37" s="22">
        <v>0</v>
      </c>
      <c r="G37" s="22">
        <v>209041</v>
      </c>
      <c r="H37" s="22">
        <v>209041</v>
      </c>
      <c r="I37" s="22">
        <f t="shared" si="1"/>
        <v>0</v>
      </c>
      <c r="J37" s="22" t="s">
        <v>668</v>
      </c>
      <c r="K37" s="22">
        <f t="shared" si="3"/>
        <v>100</v>
      </c>
      <c r="L37" s="22"/>
      <c r="M37" s="35"/>
      <c r="N37" s="35"/>
    </row>
    <row r="38" spans="1:14" s="7" customFormat="1" ht="15.6" x14ac:dyDescent="0.25">
      <c r="A38" s="30" t="s">
        <v>633</v>
      </c>
      <c r="B38" s="17">
        <v>992</v>
      </c>
      <c r="C38" s="34" t="s">
        <v>57</v>
      </c>
      <c r="D38" s="17" t="s">
        <v>208</v>
      </c>
      <c r="E38" s="17">
        <v>360</v>
      </c>
      <c r="F38" s="22">
        <v>0</v>
      </c>
      <c r="G38" s="22">
        <v>90000</v>
      </c>
      <c r="H38" s="22">
        <v>90000</v>
      </c>
      <c r="I38" s="22">
        <f t="shared" si="1"/>
        <v>0</v>
      </c>
      <c r="J38" s="22" t="s">
        <v>668</v>
      </c>
      <c r="K38" s="22">
        <f t="shared" si="3"/>
        <v>100</v>
      </c>
      <c r="L38" s="22"/>
      <c r="M38" s="35"/>
      <c r="N38" s="35"/>
    </row>
    <row r="39" spans="1:14" s="9" customFormat="1" ht="15.6" x14ac:dyDescent="0.3">
      <c r="A39" s="50" t="s">
        <v>654</v>
      </c>
      <c r="B39" s="17">
        <v>992</v>
      </c>
      <c r="C39" s="34" t="s">
        <v>321</v>
      </c>
      <c r="D39" s="17" t="s">
        <v>154</v>
      </c>
      <c r="E39" s="34" t="s">
        <v>27</v>
      </c>
      <c r="F39" s="20">
        <f>F40</f>
        <v>18036</v>
      </c>
      <c r="G39" s="20">
        <f t="shared" ref="G39:H43" si="18">G40</f>
        <v>29548</v>
      </c>
      <c r="H39" s="20">
        <f t="shared" si="18"/>
        <v>0</v>
      </c>
      <c r="I39" s="20">
        <f t="shared" si="1"/>
        <v>29548</v>
      </c>
      <c r="J39" s="20">
        <f t="shared" si="2"/>
        <v>0</v>
      </c>
      <c r="K39" s="20">
        <f t="shared" si="3"/>
        <v>0</v>
      </c>
      <c r="L39" s="20"/>
      <c r="M39" s="35"/>
      <c r="N39" s="35"/>
    </row>
    <row r="40" spans="1:14" s="9" customFormat="1" ht="46.8" x14ac:dyDescent="0.3">
      <c r="A40" s="50" t="s">
        <v>320</v>
      </c>
      <c r="B40" s="17">
        <v>992</v>
      </c>
      <c r="C40" s="34" t="s">
        <v>321</v>
      </c>
      <c r="D40" s="17" t="s">
        <v>155</v>
      </c>
      <c r="E40" s="34" t="s">
        <v>27</v>
      </c>
      <c r="F40" s="20">
        <f>F41</f>
        <v>18036</v>
      </c>
      <c r="G40" s="20">
        <f t="shared" si="18"/>
        <v>29548</v>
      </c>
      <c r="H40" s="20">
        <f t="shared" si="18"/>
        <v>0</v>
      </c>
      <c r="I40" s="20">
        <f t="shared" si="1"/>
        <v>29548</v>
      </c>
      <c r="J40" s="20">
        <f t="shared" si="2"/>
        <v>0</v>
      </c>
      <c r="K40" s="20">
        <f t="shared" si="3"/>
        <v>0</v>
      </c>
      <c r="L40" s="20"/>
      <c r="M40" s="35"/>
      <c r="N40" s="35"/>
    </row>
    <row r="41" spans="1:14" s="7" customFormat="1" ht="31.2" x14ac:dyDescent="0.25">
      <c r="A41" s="30" t="s">
        <v>318</v>
      </c>
      <c r="B41" s="17">
        <v>992</v>
      </c>
      <c r="C41" s="34" t="s">
        <v>321</v>
      </c>
      <c r="D41" s="17" t="s">
        <v>256</v>
      </c>
      <c r="E41" s="34" t="s">
        <v>27</v>
      </c>
      <c r="F41" s="20">
        <f>F42</f>
        <v>18036</v>
      </c>
      <c r="G41" s="20">
        <f t="shared" si="18"/>
        <v>29548</v>
      </c>
      <c r="H41" s="20">
        <f t="shared" si="18"/>
        <v>0</v>
      </c>
      <c r="I41" s="20">
        <f t="shared" si="1"/>
        <v>29548</v>
      </c>
      <c r="J41" s="20">
        <f t="shared" si="2"/>
        <v>0</v>
      </c>
      <c r="K41" s="20">
        <f t="shared" si="3"/>
        <v>0</v>
      </c>
      <c r="L41" s="20"/>
      <c r="M41" s="35"/>
      <c r="N41" s="35"/>
    </row>
    <row r="42" spans="1:14" s="7" customFormat="1" ht="15.6" x14ac:dyDescent="0.25">
      <c r="A42" s="30" t="s">
        <v>319</v>
      </c>
      <c r="B42" s="17">
        <v>992</v>
      </c>
      <c r="C42" s="34" t="s">
        <v>321</v>
      </c>
      <c r="D42" s="17" t="s">
        <v>253</v>
      </c>
      <c r="E42" s="34" t="s">
        <v>27</v>
      </c>
      <c r="F42" s="20">
        <f>F43</f>
        <v>18036</v>
      </c>
      <c r="G42" s="20">
        <f t="shared" si="18"/>
        <v>29548</v>
      </c>
      <c r="H42" s="20">
        <f t="shared" si="18"/>
        <v>0</v>
      </c>
      <c r="I42" s="20">
        <f t="shared" si="1"/>
        <v>29548</v>
      </c>
      <c r="J42" s="20">
        <f t="shared" si="2"/>
        <v>0</v>
      </c>
      <c r="K42" s="20">
        <f t="shared" si="3"/>
        <v>0</v>
      </c>
      <c r="L42" s="20"/>
      <c r="M42" s="35"/>
      <c r="N42" s="35"/>
    </row>
    <row r="43" spans="1:14" s="7" customFormat="1" ht="62.4" x14ac:dyDescent="0.25">
      <c r="A43" s="58" t="s">
        <v>157</v>
      </c>
      <c r="B43" s="17">
        <v>992</v>
      </c>
      <c r="C43" s="34" t="s">
        <v>321</v>
      </c>
      <c r="D43" s="17" t="s">
        <v>322</v>
      </c>
      <c r="E43" s="34" t="s">
        <v>27</v>
      </c>
      <c r="F43" s="20">
        <f>F44</f>
        <v>18036</v>
      </c>
      <c r="G43" s="20">
        <f t="shared" si="18"/>
        <v>29548</v>
      </c>
      <c r="H43" s="20">
        <f t="shared" si="18"/>
        <v>0</v>
      </c>
      <c r="I43" s="20">
        <f t="shared" si="1"/>
        <v>29548</v>
      </c>
      <c r="J43" s="20">
        <f t="shared" si="2"/>
        <v>0</v>
      </c>
      <c r="K43" s="20">
        <f t="shared" si="3"/>
        <v>0</v>
      </c>
      <c r="L43" s="20"/>
      <c r="M43" s="35"/>
      <c r="N43" s="35"/>
    </row>
    <row r="44" spans="1:14" s="7" customFormat="1" ht="31.2" x14ac:dyDescent="0.25">
      <c r="A44" s="30" t="s">
        <v>125</v>
      </c>
      <c r="B44" s="17">
        <v>992</v>
      </c>
      <c r="C44" s="34" t="s">
        <v>321</v>
      </c>
      <c r="D44" s="17" t="s">
        <v>322</v>
      </c>
      <c r="E44" s="17">
        <v>240</v>
      </c>
      <c r="F44" s="23">
        <f>18036</f>
        <v>18036</v>
      </c>
      <c r="G44" s="23">
        <f t="shared" ref="G44" si="19">18036+11512</f>
        <v>29548</v>
      </c>
      <c r="H44" s="23">
        <v>0</v>
      </c>
      <c r="I44" s="23">
        <f t="shared" si="1"/>
        <v>29548</v>
      </c>
      <c r="J44" s="23">
        <f t="shared" si="2"/>
        <v>0</v>
      </c>
      <c r="K44" s="23">
        <f t="shared" si="3"/>
        <v>0</v>
      </c>
      <c r="L44" s="23"/>
      <c r="M44" s="35"/>
      <c r="N44" s="35"/>
    </row>
    <row r="45" spans="1:14" s="7" customFormat="1" ht="15.6" x14ac:dyDescent="0.25">
      <c r="A45" s="30" t="s">
        <v>31</v>
      </c>
      <c r="B45" s="17">
        <v>992</v>
      </c>
      <c r="C45" s="34" t="s">
        <v>70</v>
      </c>
      <c r="D45" s="17" t="s">
        <v>154</v>
      </c>
      <c r="E45" s="34" t="s">
        <v>27</v>
      </c>
      <c r="F45" s="20">
        <f>F46</f>
        <v>22000000</v>
      </c>
      <c r="G45" s="20">
        <f t="shared" ref="G45:H47" si="20">G46</f>
        <v>7657474.1299999999</v>
      </c>
      <c r="H45" s="20">
        <f t="shared" si="20"/>
        <v>0</v>
      </c>
      <c r="I45" s="20">
        <f t="shared" si="1"/>
        <v>7657474.1299999999</v>
      </c>
      <c r="J45" s="20">
        <f t="shared" si="2"/>
        <v>0</v>
      </c>
      <c r="K45" s="20">
        <f t="shared" si="3"/>
        <v>0</v>
      </c>
      <c r="L45" s="20"/>
      <c r="M45" s="35"/>
      <c r="N45" s="35"/>
    </row>
    <row r="46" spans="1:14" s="7" customFormat="1" ht="46.8" x14ac:dyDescent="0.25">
      <c r="A46" s="50" t="s">
        <v>320</v>
      </c>
      <c r="B46" s="17">
        <v>992</v>
      </c>
      <c r="C46" s="34" t="s">
        <v>70</v>
      </c>
      <c r="D46" s="17" t="s">
        <v>155</v>
      </c>
      <c r="E46" s="34" t="s">
        <v>27</v>
      </c>
      <c r="F46" s="20">
        <f>F47</f>
        <v>22000000</v>
      </c>
      <c r="G46" s="20">
        <f t="shared" si="20"/>
        <v>7657474.1299999999</v>
      </c>
      <c r="H46" s="20">
        <f t="shared" si="20"/>
        <v>0</v>
      </c>
      <c r="I46" s="20">
        <f t="shared" si="1"/>
        <v>7657474.1299999999</v>
      </c>
      <c r="J46" s="20">
        <f t="shared" si="2"/>
        <v>0</v>
      </c>
      <c r="K46" s="20">
        <f t="shared" si="3"/>
        <v>0</v>
      </c>
      <c r="L46" s="20"/>
      <c r="M46" s="35"/>
      <c r="N46" s="35"/>
    </row>
    <row r="47" spans="1:14" s="7" customFormat="1" ht="31.2" x14ac:dyDescent="0.25">
      <c r="A47" s="30" t="s">
        <v>318</v>
      </c>
      <c r="B47" s="17">
        <v>992</v>
      </c>
      <c r="C47" s="34" t="s">
        <v>70</v>
      </c>
      <c r="D47" s="17" t="s">
        <v>256</v>
      </c>
      <c r="E47" s="34" t="s">
        <v>27</v>
      </c>
      <c r="F47" s="20">
        <f>F48</f>
        <v>22000000</v>
      </c>
      <c r="G47" s="20">
        <f t="shared" si="20"/>
        <v>7657474.1299999999</v>
      </c>
      <c r="H47" s="20">
        <f t="shared" si="20"/>
        <v>0</v>
      </c>
      <c r="I47" s="20">
        <f t="shared" si="1"/>
        <v>7657474.1299999999</v>
      </c>
      <c r="J47" s="20">
        <f t="shared" si="2"/>
        <v>0</v>
      </c>
      <c r="K47" s="20">
        <f t="shared" si="3"/>
        <v>0</v>
      </c>
      <c r="L47" s="20"/>
      <c r="M47" s="35"/>
      <c r="N47" s="35"/>
    </row>
    <row r="48" spans="1:14" s="7" customFormat="1" ht="15.6" x14ac:dyDescent="0.25">
      <c r="A48" s="30" t="s">
        <v>319</v>
      </c>
      <c r="B48" s="17">
        <v>992</v>
      </c>
      <c r="C48" s="34" t="s">
        <v>70</v>
      </c>
      <c r="D48" s="17" t="s">
        <v>253</v>
      </c>
      <c r="E48" s="34" t="s">
        <v>27</v>
      </c>
      <c r="F48" s="20">
        <f>F49+F51</f>
        <v>22000000</v>
      </c>
      <c r="G48" s="20">
        <f t="shared" ref="G48:H48" si="21">G49+G51</f>
        <v>7657474.1299999999</v>
      </c>
      <c r="H48" s="20">
        <f t="shared" si="21"/>
        <v>0</v>
      </c>
      <c r="I48" s="20">
        <f t="shared" si="1"/>
        <v>7657474.1299999999</v>
      </c>
      <c r="J48" s="20">
        <f t="shared" si="2"/>
        <v>0</v>
      </c>
      <c r="K48" s="20">
        <f t="shared" si="3"/>
        <v>0</v>
      </c>
      <c r="L48" s="20"/>
      <c r="M48" s="35"/>
      <c r="N48" s="35"/>
    </row>
    <row r="49" spans="1:14" s="7" customFormat="1" ht="31.2" x14ac:dyDescent="0.25">
      <c r="A49" s="30" t="s">
        <v>563</v>
      </c>
      <c r="B49" s="17">
        <v>992</v>
      </c>
      <c r="C49" s="34" t="s">
        <v>70</v>
      </c>
      <c r="D49" s="17" t="s">
        <v>208</v>
      </c>
      <c r="E49" s="34" t="s">
        <v>27</v>
      </c>
      <c r="F49" s="24">
        <f>F50</f>
        <v>18000000</v>
      </c>
      <c r="G49" s="24">
        <f t="shared" ref="G49:H49" si="22">G50</f>
        <v>3657474.13</v>
      </c>
      <c r="H49" s="24">
        <f t="shared" si="22"/>
        <v>0</v>
      </c>
      <c r="I49" s="24">
        <f t="shared" si="1"/>
        <v>3657474.13</v>
      </c>
      <c r="J49" s="24">
        <f t="shared" si="2"/>
        <v>0</v>
      </c>
      <c r="K49" s="24">
        <f t="shared" si="3"/>
        <v>0</v>
      </c>
      <c r="L49" s="24"/>
      <c r="M49" s="35"/>
      <c r="N49" s="35"/>
    </row>
    <row r="50" spans="1:14" s="7" customFormat="1" ht="27.6" customHeight="1" x14ac:dyDescent="0.25">
      <c r="A50" s="30" t="s">
        <v>87</v>
      </c>
      <c r="B50" s="17">
        <v>992</v>
      </c>
      <c r="C50" s="34" t="s">
        <v>70</v>
      </c>
      <c r="D50" s="17" t="s">
        <v>208</v>
      </c>
      <c r="E50" s="34" t="s">
        <v>88</v>
      </c>
      <c r="F50" s="24">
        <f>18000000</f>
        <v>18000000</v>
      </c>
      <c r="G50" s="24">
        <v>3657474.13</v>
      </c>
      <c r="H50" s="24">
        <v>0</v>
      </c>
      <c r="I50" s="24">
        <f t="shared" si="1"/>
        <v>3657474.13</v>
      </c>
      <c r="J50" s="24">
        <f t="shared" si="2"/>
        <v>0</v>
      </c>
      <c r="K50" s="24">
        <f t="shared" si="3"/>
        <v>0</v>
      </c>
      <c r="L50" s="24"/>
      <c r="M50" s="35"/>
      <c r="N50" s="35"/>
    </row>
    <row r="51" spans="1:14" s="7" customFormat="1" ht="62.4" x14ac:dyDescent="0.25">
      <c r="A51" s="30" t="s">
        <v>533</v>
      </c>
      <c r="B51" s="17">
        <v>992</v>
      </c>
      <c r="C51" s="34" t="s">
        <v>70</v>
      </c>
      <c r="D51" s="17" t="s">
        <v>534</v>
      </c>
      <c r="E51" s="34" t="s">
        <v>27</v>
      </c>
      <c r="F51" s="24">
        <f>F52</f>
        <v>4000000</v>
      </c>
      <c r="G51" s="24">
        <f t="shared" ref="G51:H51" si="23">G52</f>
        <v>4000000</v>
      </c>
      <c r="H51" s="24">
        <f t="shared" si="23"/>
        <v>0</v>
      </c>
      <c r="I51" s="24">
        <f t="shared" si="1"/>
        <v>4000000</v>
      </c>
      <c r="J51" s="24">
        <f t="shared" si="2"/>
        <v>0</v>
      </c>
      <c r="K51" s="24">
        <f t="shared" si="3"/>
        <v>0</v>
      </c>
      <c r="L51" s="24"/>
      <c r="M51" s="35"/>
      <c r="N51" s="35"/>
    </row>
    <row r="52" spans="1:14" s="7" customFormat="1" ht="25.2" customHeight="1" x14ac:dyDescent="0.25">
      <c r="A52" s="30" t="s">
        <v>87</v>
      </c>
      <c r="B52" s="17">
        <v>992</v>
      </c>
      <c r="C52" s="34" t="s">
        <v>70</v>
      </c>
      <c r="D52" s="17" t="s">
        <v>534</v>
      </c>
      <c r="E52" s="34" t="s">
        <v>88</v>
      </c>
      <c r="F52" s="24">
        <v>4000000</v>
      </c>
      <c r="G52" s="24">
        <v>4000000</v>
      </c>
      <c r="H52" s="24">
        <v>0</v>
      </c>
      <c r="I52" s="24">
        <f t="shared" si="1"/>
        <v>4000000</v>
      </c>
      <c r="J52" s="24">
        <f t="shared" si="2"/>
        <v>0</v>
      </c>
      <c r="K52" s="24">
        <f t="shared" si="3"/>
        <v>0</v>
      </c>
      <c r="L52" s="24"/>
      <c r="M52" s="35"/>
      <c r="N52" s="35"/>
    </row>
    <row r="53" spans="1:14" s="7" customFormat="1" ht="31.2" x14ac:dyDescent="0.25">
      <c r="A53" s="30" t="s">
        <v>45</v>
      </c>
      <c r="B53" s="17">
        <v>992</v>
      </c>
      <c r="C53" s="34" t="s">
        <v>71</v>
      </c>
      <c r="D53" s="17" t="s">
        <v>154</v>
      </c>
      <c r="E53" s="34" t="s">
        <v>27</v>
      </c>
      <c r="F53" s="20">
        <f>F54+F65+F77+F73</f>
        <v>12216003</v>
      </c>
      <c r="G53" s="20">
        <f t="shared" ref="G53:H53" si="24">G54+G65+G77+G73</f>
        <v>23910929</v>
      </c>
      <c r="H53" s="20">
        <f t="shared" si="24"/>
        <v>4328974.37</v>
      </c>
      <c r="I53" s="20">
        <f t="shared" si="1"/>
        <v>19581954.629999999</v>
      </c>
      <c r="J53" s="20">
        <f t="shared" si="2"/>
        <v>35.44</v>
      </c>
      <c r="K53" s="20">
        <f t="shared" si="3"/>
        <v>18.100000000000001</v>
      </c>
      <c r="L53" s="20"/>
      <c r="M53" s="35"/>
      <c r="N53" s="35"/>
    </row>
    <row r="54" spans="1:14" s="60" customFormat="1" ht="46.8" x14ac:dyDescent="0.25">
      <c r="A54" s="57" t="s">
        <v>360</v>
      </c>
      <c r="B54" s="17">
        <v>992</v>
      </c>
      <c r="C54" s="34" t="s">
        <v>71</v>
      </c>
      <c r="D54" s="59" t="s">
        <v>161</v>
      </c>
      <c r="E54" s="34" t="s">
        <v>27</v>
      </c>
      <c r="F54" s="20">
        <f>F55+F59</f>
        <v>950074</v>
      </c>
      <c r="G54" s="20">
        <f t="shared" ref="G54:H54" si="25">G55+G59</f>
        <v>4004669</v>
      </c>
      <c r="H54" s="20">
        <f t="shared" si="25"/>
        <v>303082</v>
      </c>
      <c r="I54" s="20">
        <f t="shared" si="1"/>
        <v>3701587</v>
      </c>
      <c r="J54" s="20">
        <f t="shared" si="2"/>
        <v>31.9</v>
      </c>
      <c r="K54" s="20">
        <f t="shared" si="3"/>
        <v>7.57</v>
      </c>
      <c r="L54" s="20"/>
      <c r="M54" s="35"/>
      <c r="N54" s="35"/>
    </row>
    <row r="55" spans="1:14" s="60" customFormat="1" ht="31.2" x14ac:dyDescent="0.3">
      <c r="A55" s="57" t="s">
        <v>371</v>
      </c>
      <c r="B55" s="17">
        <v>992</v>
      </c>
      <c r="C55" s="34" t="s">
        <v>71</v>
      </c>
      <c r="D55" s="17" t="s">
        <v>162</v>
      </c>
      <c r="E55" s="34" t="s">
        <v>27</v>
      </c>
      <c r="F55" s="25">
        <f>F56</f>
        <v>846174</v>
      </c>
      <c r="G55" s="25">
        <f t="shared" ref="G55:H57" si="26">G56</f>
        <v>3900769</v>
      </c>
      <c r="H55" s="25">
        <f t="shared" si="26"/>
        <v>267630</v>
      </c>
      <c r="I55" s="25">
        <f t="shared" si="1"/>
        <v>3633139</v>
      </c>
      <c r="J55" s="25">
        <f t="shared" si="2"/>
        <v>31.63</v>
      </c>
      <c r="K55" s="25">
        <f t="shared" si="3"/>
        <v>6.86</v>
      </c>
      <c r="L55" s="25"/>
      <c r="M55" s="35"/>
      <c r="N55" s="35"/>
    </row>
    <row r="56" spans="1:14" s="60" customFormat="1" ht="31.2" x14ac:dyDescent="0.25">
      <c r="A56" s="61" t="s">
        <v>372</v>
      </c>
      <c r="B56" s="17">
        <v>992</v>
      </c>
      <c r="C56" s="34" t="s">
        <v>71</v>
      </c>
      <c r="D56" s="17" t="s">
        <v>373</v>
      </c>
      <c r="E56" s="34" t="s">
        <v>27</v>
      </c>
      <c r="F56" s="24">
        <f>F57</f>
        <v>846174</v>
      </c>
      <c r="G56" s="24">
        <f t="shared" si="26"/>
        <v>3900769</v>
      </c>
      <c r="H56" s="24">
        <f t="shared" si="26"/>
        <v>267630</v>
      </c>
      <c r="I56" s="24">
        <f t="shared" si="1"/>
        <v>3633139</v>
      </c>
      <c r="J56" s="24">
        <f t="shared" si="2"/>
        <v>31.63</v>
      </c>
      <c r="K56" s="24">
        <f t="shared" si="3"/>
        <v>6.86</v>
      </c>
      <c r="L56" s="24"/>
      <c r="M56" s="35"/>
      <c r="N56" s="35"/>
    </row>
    <row r="57" spans="1:14" s="9" customFormat="1" ht="31.2" x14ac:dyDescent="0.3">
      <c r="A57" s="33" t="s">
        <v>374</v>
      </c>
      <c r="B57" s="17">
        <v>992</v>
      </c>
      <c r="C57" s="34" t="s">
        <v>71</v>
      </c>
      <c r="D57" s="17" t="s">
        <v>375</v>
      </c>
      <c r="E57" s="34" t="s">
        <v>27</v>
      </c>
      <c r="F57" s="24">
        <f>F58</f>
        <v>846174</v>
      </c>
      <c r="G57" s="24">
        <f t="shared" si="26"/>
        <v>3900769</v>
      </c>
      <c r="H57" s="24">
        <f t="shared" si="26"/>
        <v>267630</v>
      </c>
      <c r="I57" s="24">
        <f t="shared" si="1"/>
        <v>3633139</v>
      </c>
      <c r="J57" s="24">
        <f t="shared" si="2"/>
        <v>31.63</v>
      </c>
      <c r="K57" s="24">
        <f t="shared" si="3"/>
        <v>6.86</v>
      </c>
      <c r="L57" s="24"/>
      <c r="M57" s="35"/>
      <c r="N57" s="35"/>
    </row>
    <row r="58" spans="1:14" s="9" customFormat="1" ht="31.2" x14ac:dyDescent="0.3">
      <c r="A58" s="33" t="s">
        <v>125</v>
      </c>
      <c r="B58" s="17">
        <v>992</v>
      </c>
      <c r="C58" s="34" t="s">
        <v>71</v>
      </c>
      <c r="D58" s="17" t="s">
        <v>375</v>
      </c>
      <c r="E58" s="34" t="s">
        <v>126</v>
      </c>
      <c r="F58" s="24">
        <f>846174</f>
        <v>846174</v>
      </c>
      <c r="G58" s="24">
        <f t="shared" ref="G58" si="27">846174+3054595</f>
        <v>3900769</v>
      </c>
      <c r="H58" s="24">
        <v>267630</v>
      </c>
      <c r="I58" s="24">
        <f t="shared" si="1"/>
        <v>3633139</v>
      </c>
      <c r="J58" s="24">
        <f t="shared" si="2"/>
        <v>31.63</v>
      </c>
      <c r="K58" s="24">
        <f t="shared" si="3"/>
        <v>6.86</v>
      </c>
      <c r="L58" s="24"/>
      <c r="M58" s="35"/>
      <c r="N58" s="35"/>
    </row>
    <row r="59" spans="1:14" s="7" customFormat="1" ht="15.6" x14ac:dyDescent="0.25">
      <c r="A59" s="61" t="s">
        <v>361</v>
      </c>
      <c r="B59" s="17">
        <v>992</v>
      </c>
      <c r="C59" s="34" t="s">
        <v>71</v>
      </c>
      <c r="D59" s="17" t="s">
        <v>163</v>
      </c>
      <c r="E59" s="34" t="s">
        <v>27</v>
      </c>
      <c r="F59" s="24">
        <f>F60</f>
        <v>103900</v>
      </c>
      <c r="G59" s="24">
        <f t="shared" ref="G59:H59" si="28">G60</f>
        <v>103900</v>
      </c>
      <c r="H59" s="24">
        <f t="shared" si="28"/>
        <v>35452</v>
      </c>
      <c r="I59" s="24">
        <f t="shared" si="1"/>
        <v>68448</v>
      </c>
      <c r="J59" s="24">
        <f t="shared" si="2"/>
        <v>34.119999999999997</v>
      </c>
      <c r="K59" s="24">
        <f t="shared" si="3"/>
        <v>34.119999999999997</v>
      </c>
      <c r="L59" s="24"/>
      <c r="M59" s="35"/>
      <c r="N59" s="35"/>
    </row>
    <row r="60" spans="1:14" s="7" customFormat="1" ht="31.2" x14ac:dyDescent="0.25">
      <c r="A60" s="61" t="s">
        <v>363</v>
      </c>
      <c r="B60" s="17">
        <v>992</v>
      </c>
      <c r="C60" s="34" t="s">
        <v>71</v>
      </c>
      <c r="D60" s="17" t="s">
        <v>362</v>
      </c>
      <c r="E60" s="34" t="s">
        <v>27</v>
      </c>
      <c r="F60" s="24">
        <f>F61+F63</f>
        <v>103900</v>
      </c>
      <c r="G60" s="24">
        <f t="shared" ref="G60:H60" si="29">G61+G63</f>
        <v>103900</v>
      </c>
      <c r="H60" s="24">
        <f t="shared" si="29"/>
        <v>35452</v>
      </c>
      <c r="I60" s="24">
        <f t="shared" si="1"/>
        <v>68448</v>
      </c>
      <c r="J60" s="24">
        <f t="shared" si="2"/>
        <v>34.119999999999997</v>
      </c>
      <c r="K60" s="24">
        <f t="shared" si="3"/>
        <v>34.119999999999997</v>
      </c>
      <c r="L60" s="24"/>
      <c r="M60" s="35"/>
      <c r="N60" s="35"/>
    </row>
    <row r="61" spans="1:14" s="9" customFormat="1" ht="93.6" x14ac:dyDescent="0.3">
      <c r="A61" s="33" t="s">
        <v>379</v>
      </c>
      <c r="B61" s="17">
        <v>992</v>
      </c>
      <c r="C61" s="34" t="s">
        <v>71</v>
      </c>
      <c r="D61" s="17" t="s">
        <v>378</v>
      </c>
      <c r="E61" s="34" t="s">
        <v>27</v>
      </c>
      <c r="F61" s="24">
        <f>F62</f>
        <v>3900</v>
      </c>
      <c r="G61" s="24">
        <f t="shared" ref="G61:H61" si="30">G62</f>
        <v>3900</v>
      </c>
      <c r="H61" s="24">
        <f t="shared" si="30"/>
        <v>0</v>
      </c>
      <c r="I61" s="24">
        <f t="shared" si="1"/>
        <v>3900</v>
      </c>
      <c r="J61" s="24">
        <f t="shared" si="2"/>
        <v>0</v>
      </c>
      <c r="K61" s="24">
        <f t="shared" si="3"/>
        <v>0</v>
      </c>
      <c r="L61" s="24"/>
      <c r="M61" s="35"/>
      <c r="N61" s="35"/>
    </row>
    <row r="62" spans="1:14" s="9" customFormat="1" ht="31.2" x14ac:dyDescent="0.3">
      <c r="A62" s="33" t="s">
        <v>125</v>
      </c>
      <c r="B62" s="17">
        <v>992</v>
      </c>
      <c r="C62" s="34" t="s">
        <v>71</v>
      </c>
      <c r="D62" s="17" t="s">
        <v>378</v>
      </c>
      <c r="E62" s="34" t="s">
        <v>126</v>
      </c>
      <c r="F62" s="24">
        <v>3900</v>
      </c>
      <c r="G62" s="24">
        <v>3900</v>
      </c>
      <c r="H62" s="24">
        <v>0</v>
      </c>
      <c r="I62" s="24">
        <f t="shared" si="1"/>
        <v>3900</v>
      </c>
      <c r="J62" s="24">
        <f t="shared" si="2"/>
        <v>0</v>
      </c>
      <c r="K62" s="24">
        <f t="shared" si="3"/>
        <v>0</v>
      </c>
      <c r="L62" s="24"/>
      <c r="M62" s="35"/>
      <c r="N62" s="35"/>
    </row>
    <row r="63" spans="1:14" s="9" customFormat="1" ht="46.8" x14ac:dyDescent="0.3">
      <c r="A63" s="33" t="s">
        <v>376</v>
      </c>
      <c r="B63" s="17">
        <v>992</v>
      </c>
      <c r="C63" s="34" t="s">
        <v>71</v>
      </c>
      <c r="D63" s="17" t="s">
        <v>377</v>
      </c>
      <c r="E63" s="34" t="s">
        <v>27</v>
      </c>
      <c r="F63" s="24">
        <f>F64</f>
        <v>100000</v>
      </c>
      <c r="G63" s="24">
        <f t="shared" ref="G63:H63" si="31">G64</f>
        <v>100000</v>
      </c>
      <c r="H63" s="24">
        <f t="shared" si="31"/>
        <v>35452</v>
      </c>
      <c r="I63" s="24">
        <f t="shared" si="1"/>
        <v>64548</v>
      </c>
      <c r="J63" s="24">
        <f t="shared" si="2"/>
        <v>35.450000000000003</v>
      </c>
      <c r="K63" s="24">
        <f t="shared" si="3"/>
        <v>35.450000000000003</v>
      </c>
      <c r="L63" s="24"/>
      <c r="M63" s="35"/>
      <c r="N63" s="35"/>
    </row>
    <row r="64" spans="1:14" s="9" customFormat="1" ht="31.2" x14ac:dyDescent="0.3">
      <c r="A64" s="33" t="s">
        <v>125</v>
      </c>
      <c r="B64" s="17">
        <v>992</v>
      </c>
      <c r="C64" s="34" t="s">
        <v>71</v>
      </c>
      <c r="D64" s="17" t="s">
        <v>377</v>
      </c>
      <c r="E64" s="34" t="s">
        <v>126</v>
      </c>
      <c r="F64" s="24">
        <v>100000</v>
      </c>
      <c r="G64" s="24">
        <v>100000</v>
      </c>
      <c r="H64" s="24">
        <v>35452</v>
      </c>
      <c r="I64" s="24">
        <f t="shared" si="1"/>
        <v>64548</v>
      </c>
      <c r="J64" s="24">
        <f t="shared" si="2"/>
        <v>35.450000000000003</v>
      </c>
      <c r="K64" s="24">
        <f t="shared" si="3"/>
        <v>35.450000000000003</v>
      </c>
      <c r="L64" s="24"/>
      <c r="M64" s="35"/>
      <c r="N64" s="35"/>
    </row>
    <row r="65" spans="1:19" s="9" customFormat="1" ht="46.8" x14ac:dyDescent="0.3">
      <c r="A65" s="43" t="s">
        <v>380</v>
      </c>
      <c r="B65" s="17">
        <v>992</v>
      </c>
      <c r="C65" s="34" t="s">
        <v>71</v>
      </c>
      <c r="D65" s="17" t="s">
        <v>156</v>
      </c>
      <c r="E65" s="34" t="s">
        <v>27</v>
      </c>
      <c r="F65" s="20">
        <f t="shared" ref="F65:H65" si="32">F66</f>
        <v>150000</v>
      </c>
      <c r="G65" s="20">
        <f t="shared" si="32"/>
        <v>150000</v>
      </c>
      <c r="H65" s="20">
        <f t="shared" si="32"/>
        <v>21640</v>
      </c>
      <c r="I65" s="20">
        <f t="shared" si="1"/>
        <v>128360</v>
      </c>
      <c r="J65" s="20">
        <f t="shared" si="2"/>
        <v>14.43</v>
      </c>
      <c r="K65" s="20">
        <f t="shared" si="3"/>
        <v>14.43</v>
      </c>
      <c r="L65" s="20"/>
      <c r="M65" s="35"/>
      <c r="N65" s="35"/>
    </row>
    <row r="66" spans="1:19" s="9" customFormat="1" ht="78" x14ac:dyDescent="0.3">
      <c r="A66" s="43" t="s">
        <v>381</v>
      </c>
      <c r="B66" s="17">
        <v>992</v>
      </c>
      <c r="C66" s="34" t="s">
        <v>71</v>
      </c>
      <c r="D66" s="17" t="s">
        <v>164</v>
      </c>
      <c r="E66" s="34" t="s">
        <v>27</v>
      </c>
      <c r="F66" s="20">
        <f>F67+F71</f>
        <v>150000</v>
      </c>
      <c r="G66" s="20">
        <f t="shared" ref="G66:H66" si="33">G67+G71</f>
        <v>150000</v>
      </c>
      <c r="H66" s="20">
        <f t="shared" si="33"/>
        <v>21640</v>
      </c>
      <c r="I66" s="20">
        <f t="shared" si="1"/>
        <v>128360</v>
      </c>
      <c r="J66" s="20">
        <f t="shared" si="2"/>
        <v>14.43</v>
      </c>
      <c r="K66" s="20">
        <f t="shared" si="3"/>
        <v>14.43</v>
      </c>
      <c r="L66" s="20"/>
      <c r="M66" s="35"/>
      <c r="N66" s="35"/>
    </row>
    <row r="67" spans="1:19" s="9" customFormat="1" ht="46.8" x14ac:dyDescent="0.3">
      <c r="A67" s="62" t="s">
        <v>382</v>
      </c>
      <c r="B67" s="17">
        <v>992</v>
      </c>
      <c r="C67" s="34" t="s">
        <v>71</v>
      </c>
      <c r="D67" s="36" t="s">
        <v>384</v>
      </c>
      <c r="E67" s="34" t="s">
        <v>27</v>
      </c>
      <c r="F67" s="24">
        <f>F69</f>
        <v>100000</v>
      </c>
      <c r="G67" s="24">
        <f t="shared" ref="G67:H67" si="34">G69</f>
        <v>100000</v>
      </c>
      <c r="H67" s="24">
        <f t="shared" si="34"/>
        <v>21640</v>
      </c>
      <c r="I67" s="24">
        <f t="shared" si="1"/>
        <v>78360</v>
      </c>
      <c r="J67" s="24">
        <f t="shared" si="2"/>
        <v>21.64</v>
      </c>
      <c r="K67" s="24">
        <f t="shared" si="3"/>
        <v>21.64</v>
      </c>
      <c r="L67" s="24"/>
      <c r="M67" s="35"/>
      <c r="N67" s="35"/>
    </row>
    <row r="68" spans="1:19" s="9" customFormat="1" ht="62.4" x14ac:dyDescent="0.3">
      <c r="A68" s="62" t="s">
        <v>385</v>
      </c>
      <c r="B68" s="17">
        <v>992</v>
      </c>
      <c r="C68" s="34" t="s">
        <v>71</v>
      </c>
      <c r="D68" s="36" t="s">
        <v>383</v>
      </c>
      <c r="E68" s="34" t="s">
        <v>27</v>
      </c>
      <c r="F68" s="24">
        <f>F69</f>
        <v>100000</v>
      </c>
      <c r="G68" s="24">
        <f t="shared" ref="G68:H68" si="35">G69</f>
        <v>100000</v>
      </c>
      <c r="H68" s="24">
        <f t="shared" si="35"/>
        <v>21640</v>
      </c>
      <c r="I68" s="24">
        <f t="shared" si="1"/>
        <v>78360</v>
      </c>
      <c r="J68" s="24">
        <f t="shared" si="2"/>
        <v>21.64</v>
      </c>
      <c r="K68" s="24">
        <f t="shared" si="3"/>
        <v>21.64</v>
      </c>
      <c r="L68" s="24"/>
      <c r="M68" s="35"/>
      <c r="N68" s="35"/>
    </row>
    <row r="69" spans="1:19" s="9" customFormat="1" ht="31.2" x14ac:dyDescent="0.3">
      <c r="A69" s="33" t="s">
        <v>125</v>
      </c>
      <c r="B69" s="17">
        <v>992</v>
      </c>
      <c r="C69" s="34" t="s">
        <v>71</v>
      </c>
      <c r="D69" s="36" t="s">
        <v>383</v>
      </c>
      <c r="E69" s="34" t="s">
        <v>126</v>
      </c>
      <c r="F69" s="24">
        <v>100000</v>
      </c>
      <c r="G69" s="24">
        <v>100000</v>
      </c>
      <c r="H69" s="24">
        <v>21640</v>
      </c>
      <c r="I69" s="24">
        <f t="shared" si="1"/>
        <v>78360</v>
      </c>
      <c r="J69" s="24">
        <f t="shared" si="2"/>
        <v>21.64</v>
      </c>
      <c r="K69" s="24">
        <f t="shared" si="3"/>
        <v>21.64</v>
      </c>
      <c r="L69" s="24"/>
      <c r="M69" s="35"/>
      <c r="N69" s="35"/>
    </row>
    <row r="70" spans="1:19" s="9" customFormat="1" ht="62.4" x14ac:dyDescent="0.3">
      <c r="A70" s="62" t="s">
        <v>386</v>
      </c>
      <c r="B70" s="17">
        <v>992</v>
      </c>
      <c r="C70" s="34" t="s">
        <v>71</v>
      </c>
      <c r="D70" s="36" t="s">
        <v>564</v>
      </c>
      <c r="E70" s="34" t="s">
        <v>27</v>
      </c>
      <c r="F70" s="24">
        <f>F72</f>
        <v>50000</v>
      </c>
      <c r="G70" s="24">
        <f t="shared" ref="G70:H70" si="36">G72</f>
        <v>50000</v>
      </c>
      <c r="H70" s="24">
        <f t="shared" si="36"/>
        <v>0</v>
      </c>
      <c r="I70" s="24">
        <f t="shared" si="1"/>
        <v>50000</v>
      </c>
      <c r="J70" s="24">
        <f t="shared" si="2"/>
        <v>0</v>
      </c>
      <c r="K70" s="24">
        <f t="shared" si="3"/>
        <v>0</v>
      </c>
      <c r="L70" s="24"/>
      <c r="M70" s="35"/>
      <c r="N70" s="35"/>
    </row>
    <row r="71" spans="1:19" s="9" customFormat="1" ht="31.2" x14ac:dyDescent="0.3">
      <c r="A71" s="62" t="s">
        <v>120</v>
      </c>
      <c r="B71" s="17">
        <v>992</v>
      </c>
      <c r="C71" s="34" t="s">
        <v>71</v>
      </c>
      <c r="D71" s="36" t="s">
        <v>165</v>
      </c>
      <c r="E71" s="34" t="s">
        <v>27</v>
      </c>
      <c r="F71" s="24">
        <f>F72</f>
        <v>50000</v>
      </c>
      <c r="G71" s="24">
        <f t="shared" ref="G71:H71" si="37">G72</f>
        <v>50000</v>
      </c>
      <c r="H71" s="24">
        <f t="shared" si="37"/>
        <v>0</v>
      </c>
      <c r="I71" s="24">
        <f t="shared" si="1"/>
        <v>50000</v>
      </c>
      <c r="J71" s="24">
        <f t="shared" si="2"/>
        <v>0</v>
      </c>
      <c r="K71" s="24">
        <f t="shared" si="3"/>
        <v>0</v>
      </c>
      <c r="L71" s="24"/>
      <c r="M71" s="35"/>
      <c r="N71" s="35"/>
    </row>
    <row r="72" spans="1:19" s="9" customFormat="1" ht="31.2" x14ac:dyDescent="0.3">
      <c r="A72" s="33" t="s">
        <v>125</v>
      </c>
      <c r="B72" s="17">
        <v>992</v>
      </c>
      <c r="C72" s="34" t="s">
        <v>71</v>
      </c>
      <c r="D72" s="36" t="s">
        <v>165</v>
      </c>
      <c r="E72" s="34" t="s">
        <v>126</v>
      </c>
      <c r="F72" s="24">
        <v>50000</v>
      </c>
      <c r="G72" s="24">
        <v>50000</v>
      </c>
      <c r="H72" s="24">
        <v>0</v>
      </c>
      <c r="I72" s="24">
        <f t="shared" si="1"/>
        <v>50000</v>
      </c>
      <c r="J72" s="24">
        <f t="shared" si="2"/>
        <v>0</v>
      </c>
      <c r="K72" s="24">
        <f t="shared" si="3"/>
        <v>0</v>
      </c>
      <c r="L72" s="24"/>
      <c r="M72" s="35"/>
      <c r="N72" s="35"/>
    </row>
    <row r="73" spans="1:19" s="9" customFormat="1" ht="46.8" x14ac:dyDescent="0.3">
      <c r="A73" s="63" t="s">
        <v>561</v>
      </c>
      <c r="B73" s="17">
        <v>992</v>
      </c>
      <c r="C73" s="44" t="s">
        <v>71</v>
      </c>
      <c r="D73" s="37" t="s">
        <v>557</v>
      </c>
      <c r="E73" s="44" t="s">
        <v>27</v>
      </c>
      <c r="F73" s="15">
        <f>F74</f>
        <v>35430</v>
      </c>
      <c r="G73" s="15">
        <f t="shared" ref="G73:H75" si="38">G74</f>
        <v>35430</v>
      </c>
      <c r="H73" s="15">
        <f t="shared" si="38"/>
        <v>0</v>
      </c>
      <c r="I73" s="15">
        <f t="shared" si="1"/>
        <v>35430</v>
      </c>
      <c r="J73" s="15">
        <f t="shared" si="2"/>
        <v>0</v>
      </c>
      <c r="K73" s="15">
        <f t="shared" si="3"/>
        <v>0</v>
      </c>
      <c r="L73" s="15"/>
      <c r="M73" s="35"/>
      <c r="N73" s="35"/>
      <c r="O73" s="40"/>
      <c r="P73" s="40"/>
      <c r="Q73" s="40"/>
      <c r="R73" s="40"/>
      <c r="S73" s="40"/>
    </row>
    <row r="74" spans="1:19" s="9" customFormat="1" ht="46.8" x14ac:dyDescent="0.3">
      <c r="A74" s="63" t="s">
        <v>560</v>
      </c>
      <c r="B74" s="17">
        <v>992</v>
      </c>
      <c r="C74" s="44" t="s">
        <v>71</v>
      </c>
      <c r="D74" s="37" t="s">
        <v>558</v>
      </c>
      <c r="E74" s="44" t="s">
        <v>27</v>
      </c>
      <c r="F74" s="15">
        <f>F75</f>
        <v>35430</v>
      </c>
      <c r="G74" s="15">
        <f t="shared" si="38"/>
        <v>35430</v>
      </c>
      <c r="H74" s="15">
        <f t="shared" si="38"/>
        <v>0</v>
      </c>
      <c r="I74" s="15">
        <f t="shared" ref="I74:I137" si="39">$G74-$H74</f>
        <v>35430</v>
      </c>
      <c r="J74" s="15">
        <f t="shared" ref="J74:J136" si="40">$H74/$F74*100</f>
        <v>0</v>
      </c>
      <c r="K74" s="15">
        <f t="shared" ref="K74:K137" si="41">$H74/$G74*100</f>
        <v>0</v>
      </c>
      <c r="L74" s="15"/>
      <c r="M74" s="35"/>
      <c r="N74" s="35"/>
      <c r="O74" s="40"/>
      <c r="P74" s="40"/>
      <c r="Q74" s="40"/>
      <c r="R74" s="40"/>
      <c r="S74" s="40"/>
    </row>
    <row r="75" spans="1:19" s="9" customFormat="1" ht="69" customHeight="1" x14ac:dyDescent="0.3">
      <c r="A75" s="63" t="s">
        <v>562</v>
      </c>
      <c r="B75" s="17">
        <v>992</v>
      </c>
      <c r="C75" s="34" t="s">
        <v>71</v>
      </c>
      <c r="D75" s="37" t="s">
        <v>559</v>
      </c>
      <c r="E75" s="34" t="s">
        <v>27</v>
      </c>
      <c r="F75" s="15">
        <f>F76</f>
        <v>35430</v>
      </c>
      <c r="G75" s="15">
        <f t="shared" si="38"/>
        <v>35430</v>
      </c>
      <c r="H75" s="15">
        <f t="shared" si="38"/>
        <v>0</v>
      </c>
      <c r="I75" s="15">
        <f t="shared" si="39"/>
        <v>35430</v>
      </c>
      <c r="J75" s="15">
        <f t="shared" si="40"/>
        <v>0</v>
      </c>
      <c r="K75" s="15">
        <f t="shared" si="41"/>
        <v>0</v>
      </c>
      <c r="L75" s="15"/>
      <c r="M75" s="35"/>
      <c r="N75" s="35"/>
      <c r="O75" s="40"/>
      <c r="P75" s="40"/>
      <c r="Q75" s="40"/>
      <c r="R75" s="40"/>
      <c r="S75" s="40"/>
    </row>
    <row r="76" spans="1:19" s="9" customFormat="1" ht="31.2" x14ac:dyDescent="0.3">
      <c r="A76" s="33" t="s">
        <v>125</v>
      </c>
      <c r="B76" s="17">
        <v>992</v>
      </c>
      <c r="C76" s="34" t="s">
        <v>71</v>
      </c>
      <c r="D76" s="37" t="s">
        <v>559</v>
      </c>
      <c r="E76" s="34" t="s">
        <v>126</v>
      </c>
      <c r="F76" s="15">
        <f>0+35430</f>
        <v>35430</v>
      </c>
      <c r="G76" s="15">
        <f t="shared" ref="G76" si="42">0+35430</f>
        <v>35430</v>
      </c>
      <c r="H76" s="15">
        <v>0</v>
      </c>
      <c r="I76" s="15">
        <f t="shared" si="39"/>
        <v>35430</v>
      </c>
      <c r="J76" s="15">
        <f t="shared" si="40"/>
        <v>0</v>
      </c>
      <c r="K76" s="15">
        <f t="shared" si="41"/>
        <v>0</v>
      </c>
      <c r="L76" s="15"/>
      <c r="M76" s="35"/>
      <c r="N76" s="35"/>
      <c r="O76" s="38"/>
      <c r="P76" s="39"/>
      <c r="Q76" s="39"/>
      <c r="R76" s="39"/>
      <c r="S76" s="40"/>
    </row>
    <row r="77" spans="1:19" s="9" customFormat="1" ht="46.8" x14ac:dyDescent="0.3">
      <c r="A77" s="50" t="s">
        <v>320</v>
      </c>
      <c r="B77" s="17">
        <v>992</v>
      </c>
      <c r="C77" s="34" t="s">
        <v>71</v>
      </c>
      <c r="D77" s="17" t="s">
        <v>155</v>
      </c>
      <c r="E77" s="34" t="s">
        <v>27</v>
      </c>
      <c r="F77" s="20">
        <f>F78</f>
        <v>11080499</v>
      </c>
      <c r="G77" s="20">
        <f t="shared" ref="G77:H78" si="43">G78</f>
        <v>19720830</v>
      </c>
      <c r="H77" s="20">
        <f t="shared" si="43"/>
        <v>4004252.37</v>
      </c>
      <c r="I77" s="20">
        <f t="shared" si="39"/>
        <v>15716577.630000001</v>
      </c>
      <c r="J77" s="20">
        <f t="shared" si="40"/>
        <v>36.14</v>
      </c>
      <c r="K77" s="20">
        <f t="shared" si="41"/>
        <v>20.3</v>
      </c>
      <c r="L77" s="20"/>
      <c r="M77" s="35"/>
      <c r="N77" s="35"/>
    </row>
    <row r="78" spans="1:19" s="7" customFormat="1" ht="31.2" x14ac:dyDescent="0.25">
      <c r="A78" s="30" t="s">
        <v>318</v>
      </c>
      <c r="B78" s="17">
        <v>992</v>
      </c>
      <c r="C78" s="34" t="s">
        <v>71</v>
      </c>
      <c r="D78" s="17" t="s">
        <v>256</v>
      </c>
      <c r="E78" s="34" t="s">
        <v>27</v>
      </c>
      <c r="F78" s="20">
        <f>F79</f>
        <v>11080499</v>
      </c>
      <c r="G78" s="20">
        <f t="shared" si="43"/>
        <v>19720830</v>
      </c>
      <c r="H78" s="20">
        <f t="shared" si="43"/>
        <v>4004252.37</v>
      </c>
      <c r="I78" s="20">
        <f t="shared" si="39"/>
        <v>15716577.630000001</v>
      </c>
      <c r="J78" s="20">
        <f t="shared" si="40"/>
        <v>36.14</v>
      </c>
      <c r="K78" s="20">
        <f t="shared" si="41"/>
        <v>20.3</v>
      </c>
      <c r="L78" s="20"/>
      <c r="M78" s="35"/>
      <c r="N78" s="35"/>
    </row>
    <row r="79" spans="1:19" s="7" customFormat="1" ht="15.6" x14ac:dyDescent="0.25">
      <c r="A79" s="30" t="s">
        <v>319</v>
      </c>
      <c r="B79" s="17">
        <v>992</v>
      </c>
      <c r="C79" s="34" t="s">
        <v>71</v>
      </c>
      <c r="D79" s="17" t="s">
        <v>253</v>
      </c>
      <c r="E79" s="34" t="s">
        <v>27</v>
      </c>
      <c r="F79" s="20">
        <f>F80+F82+F84+F87+F90+F93+F95+F99+F102+F97</f>
        <v>11080499</v>
      </c>
      <c r="G79" s="20">
        <f t="shared" ref="G79:H79" si="44">G80+G82+G84+G87+G90+G93+G95+G99+G102+G97</f>
        <v>19720830</v>
      </c>
      <c r="H79" s="20">
        <f t="shared" si="44"/>
        <v>4004252.37</v>
      </c>
      <c r="I79" s="20">
        <f t="shared" si="39"/>
        <v>15716577.630000001</v>
      </c>
      <c r="J79" s="20">
        <f t="shared" si="40"/>
        <v>36.14</v>
      </c>
      <c r="K79" s="20">
        <f t="shared" si="41"/>
        <v>20.3</v>
      </c>
      <c r="L79" s="20"/>
      <c r="M79" s="35"/>
      <c r="N79" s="35"/>
    </row>
    <row r="80" spans="1:19" s="9" customFormat="1" ht="31.2" x14ac:dyDescent="0.3">
      <c r="A80" s="30" t="s">
        <v>86</v>
      </c>
      <c r="B80" s="17">
        <v>992</v>
      </c>
      <c r="C80" s="34" t="s">
        <v>71</v>
      </c>
      <c r="D80" s="17" t="s">
        <v>209</v>
      </c>
      <c r="E80" s="41" t="s">
        <v>27</v>
      </c>
      <c r="F80" s="20">
        <f t="shared" ref="F80:H80" si="45">F81</f>
        <v>100000</v>
      </c>
      <c r="G80" s="20">
        <f t="shared" si="45"/>
        <v>163645.5</v>
      </c>
      <c r="H80" s="20">
        <f t="shared" si="45"/>
        <v>163645.5</v>
      </c>
      <c r="I80" s="20">
        <f t="shared" si="39"/>
        <v>0</v>
      </c>
      <c r="J80" s="20">
        <f t="shared" si="40"/>
        <v>163.65</v>
      </c>
      <c r="K80" s="20">
        <f t="shared" si="41"/>
        <v>100</v>
      </c>
      <c r="L80" s="20"/>
      <c r="M80" s="35"/>
      <c r="N80" s="35"/>
    </row>
    <row r="81" spans="1:14" s="7" customFormat="1" ht="15.6" x14ac:dyDescent="0.25">
      <c r="A81" s="30" t="s">
        <v>130</v>
      </c>
      <c r="B81" s="17">
        <v>992</v>
      </c>
      <c r="C81" s="34" t="s">
        <v>71</v>
      </c>
      <c r="D81" s="17" t="s">
        <v>209</v>
      </c>
      <c r="E81" s="41" t="s">
        <v>131</v>
      </c>
      <c r="F81" s="24">
        <v>100000</v>
      </c>
      <c r="G81" s="24">
        <v>163645.5</v>
      </c>
      <c r="H81" s="24">
        <v>163645.5</v>
      </c>
      <c r="I81" s="24">
        <f t="shared" si="39"/>
        <v>0</v>
      </c>
      <c r="J81" s="24">
        <f t="shared" si="40"/>
        <v>163.65</v>
      </c>
      <c r="K81" s="24">
        <f t="shared" si="41"/>
        <v>100</v>
      </c>
      <c r="L81" s="24"/>
      <c r="M81" s="35"/>
      <c r="N81" s="35"/>
    </row>
    <row r="82" spans="1:14" s="7" customFormat="1" ht="46.8" x14ac:dyDescent="0.25">
      <c r="A82" s="33" t="s">
        <v>411</v>
      </c>
      <c r="B82" s="17">
        <v>992</v>
      </c>
      <c r="C82" s="34" t="s">
        <v>71</v>
      </c>
      <c r="D82" s="17" t="s">
        <v>434</v>
      </c>
      <c r="E82" s="41" t="s">
        <v>27</v>
      </c>
      <c r="F82" s="24">
        <f>F83</f>
        <v>200000</v>
      </c>
      <c r="G82" s="24">
        <f t="shared" ref="G82:H82" si="46">G83</f>
        <v>550000</v>
      </c>
      <c r="H82" s="24">
        <f t="shared" si="46"/>
        <v>199526</v>
      </c>
      <c r="I82" s="24">
        <f t="shared" si="39"/>
        <v>350474</v>
      </c>
      <c r="J82" s="24">
        <f t="shared" si="40"/>
        <v>99.76</v>
      </c>
      <c r="K82" s="24">
        <f t="shared" si="41"/>
        <v>36.28</v>
      </c>
      <c r="L82" s="24"/>
      <c r="M82" s="35"/>
      <c r="N82" s="35"/>
    </row>
    <row r="83" spans="1:14" s="7" customFormat="1" ht="31.2" x14ac:dyDescent="0.25">
      <c r="A83" s="33" t="s">
        <v>125</v>
      </c>
      <c r="B83" s="17">
        <v>992</v>
      </c>
      <c r="C83" s="34" t="s">
        <v>71</v>
      </c>
      <c r="D83" s="17" t="s">
        <v>434</v>
      </c>
      <c r="E83" s="41" t="s">
        <v>126</v>
      </c>
      <c r="F83" s="24">
        <f>200000</f>
        <v>200000</v>
      </c>
      <c r="G83" s="24">
        <f t="shared" ref="G83" si="47">200000+350000</f>
        <v>550000</v>
      </c>
      <c r="H83" s="24">
        <v>199526</v>
      </c>
      <c r="I83" s="24">
        <f t="shared" si="39"/>
        <v>350474</v>
      </c>
      <c r="J83" s="24">
        <f t="shared" si="40"/>
        <v>99.76</v>
      </c>
      <c r="K83" s="24">
        <f t="shared" si="41"/>
        <v>36.28</v>
      </c>
      <c r="L83" s="24"/>
      <c r="M83" s="35"/>
      <c r="N83" s="35"/>
    </row>
    <row r="84" spans="1:14" s="7" customFormat="1" ht="62.4" x14ac:dyDescent="0.25">
      <c r="A84" s="57" t="s">
        <v>251</v>
      </c>
      <c r="B84" s="17">
        <v>992</v>
      </c>
      <c r="C84" s="34" t="s">
        <v>71</v>
      </c>
      <c r="D84" s="42" t="s">
        <v>323</v>
      </c>
      <c r="E84" s="34" t="s">
        <v>27</v>
      </c>
      <c r="F84" s="20">
        <f>F85+F86</f>
        <v>2607137</v>
      </c>
      <c r="G84" s="20">
        <f t="shared" ref="G84:H84" si="48">G85+G86</f>
        <v>2610290</v>
      </c>
      <c r="H84" s="20">
        <f t="shared" si="48"/>
        <v>407730</v>
      </c>
      <c r="I84" s="20">
        <f t="shared" si="39"/>
        <v>2202560</v>
      </c>
      <c r="J84" s="20">
        <f t="shared" si="40"/>
        <v>15.64</v>
      </c>
      <c r="K84" s="20">
        <f t="shared" si="41"/>
        <v>15.62</v>
      </c>
      <c r="L84" s="20"/>
      <c r="M84" s="35"/>
      <c r="N84" s="35"/>
    </row>
    <row r="85" spans="1:14" s="7" customFormat="1" ht="31.2" x14ac:dyDescent="0.25">
      <c r="A85" s="30" t="s">
        <v>127</v>
      </c>
      <c r="B85" s="17">
        <v>992</v>
      </c>
      <c r="C85" s="34" t="s">
        <v>71</v>
      </c>
      <c r="D85" s="42" t="s">
        <v>323</v>
      </c>
      <c r="E85" s="34" t="s">
        <v>128</v>
      </c>
      <c r="F85" s="23">
        <v>2441803.84</v>
      </c>
      <c r="G85" s="23">
        <v>2441803.84</v>
      </c>
      <c r="H85" s="23">
        <v>404830</v>
      </c>
      <c r="I85" s="23">
        <f t="shared" si="39"/>
        <v>2036973.84</v>
      </c>
      <c r="J85" s="23">
        <f t="shared" si="40"/>
        <v>16.579999999999998</v>
      </c>
      <c r="K85" s="23">
        <f t="shared" si="41"/>
        <v>16.579999999999998</v>
      </c>
      <c r="L85" s="23"/>
      <c r="M85" s="35"/>
      <c r="N85" s="35"/>
    </row>
    <row r="86" spans="1:14" s="7" customFormat="1" ht="31.2" x14ac:dyDescent="0.25">
      <c r="A86" s="33" t="s">
        <v>125</v>
      </c>
      <c r="B86" s="17">
        <v>992</v>
      </c>
      <c r="C86" s="34" t="s">
        <v>71</v>
      </c>
      <c r="D86" s="42" t="s">
        <v>323</v>
      </c>
      <c r="E86" s="34" t="s">
        <v>126</v>
      </c>
      <c r="F86" s="20">
        <f>165333.16</f>
        <v>165333.16</v>
      </c>
      <c r="G86" s="20">
        <f t="shared" ref="G86" si="49">165333.16+3153</f>
        <v>168486.16</v>
      </c>
      <c r="H86" s="20">
        <v>2900</v>
      </c>
      <c r="I86" s="20">
        <f t="shared" si="39"/>
        <v>165586.16</v>
      </c>
      <c r="J86" s="20">
        <f t="shared" si="40"/>
        <v>1.75</v>
      </c>
      <c r="K86" s="20">
        <f t="shared" si="41"/>
        <v>1.72</v>
      </c>
      <c r="L86" s="20"/>
      <c r="M86" s="35"/>
      <c r="N86" s="35"/>
    </row>
    <row r="87" spans="1:14" s="7" customFormat="1" ht="62.4" x14ac:dyDescent="0.25">
      <c r="A87" s="43" t="s">
        <v>104</v>
      </c>
      <c r="B87" s="16">
        <v>992</v>
      </c>
      <c r="C87" s="44" t="s">
        <v>71</v>
      </c>
      <c r="D87" s="45" t="s">
        <v>254</v>
      </c>
      <c r="E87" s="44" t="s">
        <v>27</v>
      </c>
      <c r="F87" s="24">
        <f>F88+F89</f>
        <v>1219463</v>
      </c>
      <c r="G87" s="24">
        <f t="shared" ref="G87:H87" si="50">G88+G89</f>
        <v>1220949</v>
      </c>
      <c r="H87" s="24">
        <f t="shared" si="50"/>
        <v>192945</v>
      </c>
      <c r="I87" s="24">
        <f t="shared" si="39"/>
        <v>1028004</v>
      </c>
      <c r="J87" s="24">
        <f t="shared" si="40"/>
        <v>15.82</v>
      </c>
      <c r="K87" s="24">
        <f t="shared" si="41"/>
        <v>15.8</v>
      </c>
      <c r="L87" s="24"/>
      <c r="M87" s="35"/>
      <c r="N87" s="35"/>
    </row>
    <row r="88" spans="1:14" s="7" customFormat="1" ht="31.2" x14ac:dyDescent="0.25">
      <c r="A88" s="43" t="s">
        <v>127</v>
      </c>
      <c r="B88" s="16">
        <v>992</v>
      </c>
      <c r="C88" s="44" t="s">
        <v>71</v>
      </c>
      <c r="D88" s="45" t="s">
        <v>254</v>
      </c>
      <c r="E88" s="44" t="s">
        <v>128</v>
      </c>
      <c r="F88" s="15">
        <v>1190166.68</v>
      </c>
      <c r="G88" s="15">
        <v>1190166.68</v>
      </c>
      <c r="H88" s="15">
        <v>192945</v>
      </c>
      <c r="I88" s="15">
        <f t="shared" si="39"/>
        <v>997221.68</v>
      </c>
      <c r="J88" s="15">
        <f t="shared" si="40"/>
        <v>16.21</v>
      </c>
      <c r="K88" s="15">
        <f t="shared" si="41"/>
        <v>16.21</v>
      </c>
      <c r="L88" s="15"/>
      <c r="M88" s="35"/>
      <c r="N88" s="35"/>
    </row>
    <row r="89" spans="1:14" s="7" customFormat="1" ht="31.2" x14ac:dyDescent="0.25">
      <c r="A89" s="46" t="s">
        <v>125</v>
      </c>
      <c r="B89" s="16">
        <v>992</v>
      </c>
      <c r="C89" s="44" t="s">
        <v>71</v>
      </c>
      <c r="D89" s="45" t="s">
        <v>254</v>
      </c>
      <c r="E89" s="44" t="s">
        <v>126</v>
      </c>
      <c r="F89" s="24">
        <f>29296.32</f>
        <v>29296.32</v>
      </c>
      <c r="G89" s="24">
        <f t="shared" ref="G89" si="51">29296.32+1486</f>
        <v>30782.32</v>
      </c>
      <c r="H89" s="24">
        <v>0</v>
      </c>
      <c r="I89" s="24">
        <f t="shared" si="39"/>
        <v>30782.32</v>
      </c>
      <c r="J89" s="24">
        <f t="shared" si="40"/>
        <v>0</v>
      </c>
      <c r="K89" s="24">
        <f t="shared" si="41"/>
        <v>0</v>
      </c>
      <c r="L89" s="24"/>
      <c r="M89" s="35"/>
      <c r="N89" s="35"/>
    </row>
    <row r="90" spans="1:14" s="9" customFormat="1" ht="46.8" x14ac:dyDescent="0.3">
      <c r="A90" s="30" t="s">
        <v>103</v>
      </c>
      <c r="B90" s="17">
        <v>992</v>
      </c>
      <c r="C90" s="34" t="s">
        <v>71</v>
      </c>
      <c r="D90" s="17" t="s">
        <v>450</v>
      </c>
      <c r="E90" s="34" t="s">
        <v>27</v>
      </c>
      <c r="F90" s="20">
        <f>F91+F92</f>
        <v>1672275.22</v>
      </c>
      <c r="G90" s="20">
        <f t="shared" ref="G90:H90" si="52">G91+G92</f>
        <v>1675874.22</v>
      </c>
      <c r="H90" s="20">
        <f t="shared" si="52"/>
        <v>370625.95</v>
      </c>
      <c r="I90" s="20">
        <f t="shared" si="39"/>
        <v>1305248.27</v>
      </c>
      <c r="J90" s="20">
        <f t="shared" si="40"/>
        <v>22.16</v>
      </c>
      <c r="K90" s="20">
        <f t="shared" si="41"/>
        <v>22.12</v>
      </c>
      <c r="L90" s="20"/>
      <c r="M90" s="35"/>
      <c r="N90" s="35"/>
    </row>
    <row r="91" spans="1:14" s="9" customFormat="1" ht="31.2" x14ac:dyDescent="0.3">
      <c r="A91" s="30" t="s">
        <v>127</v>
      </c>
      <c r="B91" s="17">
        <v>992</v>
      </c>
      <c r="C91" s="34" t="s">
        <v>71</v>
      </c>
      <c r="D91" s="17" t="s">
        <v>450</v>
      </c>
      <c r="E91" s="34" t="s">
        <v>128</v>
      </c>
      <c r="F91" s="20">
        <f>1672275.22</f>
        <v>1672275.22</v>
      </c>
      <c r="G91" s="20">
        <f t="shared" ref="G91" si="53">1672275.22+3599</f>
        <v>1675874.22</v>
      </c>
      <c r="H91" s="20">
        <v>370625.95</v>
      </c>
      <c r="I91" s="20">
        <f t="shared" si="39"/>
        <v>1305248.27</v>
      </c>
      <c r="J91" s="20">
        <f t="shared" si="40"/>
        <v>22.16</v>
      </c>
      <c r="K91" s="20">
        <f t="shared" si="41"/>
        <v>22.12</v>
      </c>
      <c r="L91" s="20"/>
      <c r="M91" s="35"/>
      <c r="N91" s="35"/>
    </row>
    <row r="92" spans="1:14" s="9" customFormat="1" ht="31.2" x14ac:dyDescent="0.3">
      <c r="A92" s="33" t="s">
        <v>125</v>
      </c>
      <c r="B92" s="17">
        <v>992</v>
      </c>
      <c r="C92" s="34" t="s">
        <v>71</v>
      </c>
      <c r="D92" s="17" t="s">
        <v>450</v>
      </c>
      <c r="E92" s="34" t="s">
        <v>126</v>
      </c>
      <c r="F92" s="20">
        <v>0</v>
      </c>
      <c r="G92" s="20">
        <v>0</v>
      </c>
      <c r="H92" s="20">
        <v>0</v>
      </c>
      <c r="I92" s="20">
        <f t="shared" si="39"/>
        <v>0</v>
      </c>
      <c r="J92" s="20" t="s">
        <v>668</v>
      </c>
      <c r="K92" s="20" t="s">
        <v>668</v>
      </c>
      <c r="L92" s="20"/>
      <c r="M92" s="35"/>
      <c r="N92" s="35"/>
    </row>
    <row r="93" spans="1:14" s="9" customFormat="1" ht="46.8" x14ac:dyDescent="0.3">
      <c r="A93" s="30" t="s">
        <v>105</v>
      </c>
      <c r="B93" s="17">
        <v>992</v>
      </c>
      <c r="C93" s="34" t="s">
        <v>71</v>
      </c>
      <c r="D93" s="17" t="s">
        <v>451</v>
      </c>
      <c r="E93" s="34" t="s">
        <v>27</v>
      </c>
      <c r="F93" s="20">
        <f>F94</f>
        <v>1275735.78</v>
      </c>
      <c r="G93" s="20">
        <f t="shared" ref="G93:H93" si="54">G94</f>
        <v>1275735.78</v>
      </c>
      <c r="H93" s="20">
        <f t="shared" si="54"/>
        <v>168744.53</v>
      </c>
      <c r="I93" s="20">
        <f t="shared" si="39"/>
        <v>1106991.25</v>
      </c>
      <c r="J93" s="20">
        <f t="shared" si="40"/>
        <v>13.23</v>
      </c>
      <c r="K93" s="20">
        <f t="shared" si="41"/>
        <v>13.23</v>
      </c>
      <c r="L93" s="20"/>
      <c r="M93" s="35"/>
      <c r="N93" s="35"/>
    </row>
    <row r="94" spans="1:14" s="9" customFormat="1" ht="31.2" x14ac:dyDescent="0.3">
      <c r="A94" s="30" t="s">
        <v>127</v>
      </c>
      <c r="B94" s="17">
        <v>992</v>
      </c>
      <c r="C94" s="34" t="s">
        <v>71</v>
      </c>
      <c r="D94" s="17" t="s">
        <v>451</v>
      </c>
      <c r="E94" s="34" t="s">
        <v>128</v>
      </c>
      <c r="F94" s="20">
        <v>1275735.78</v>
      </c>
      <c r="G94" s="20">
        <v>1275735.78</v>
      </c>
      <c r="H94" s="20">
        <v>168744.53</v>
      </c>
      <c r="I94" s="20">
        <f t="shared" si="39"/>
        <v>1106991.25</v>
      </c>
      <c r="J94" s="20">
        <f t="shared" si="40"/>
        <v>13.23</v>
      </c>
      <c r="K94" s="20">
        <f t="shared" si="41"/>
        <v>13.23</v>
      </c>
      <c r="L94" s="20"/>
      <c r="M94" s="35"/>
      <c r="N94" s="35"/>
    </row>
    <row r="95" spans="1:14" s="7" customFormat="1" ht="46.8" x14ac:dyDescent="0.25">
      <c r="A95" s="33" t="s">
        <v>106</v>
      </c>
      <c r="B95" s="17">
        <v>992</v>
      </c>
      <c r="C95" s="34" t="s">
        <v>71</v>
      </c>
      <c r="D95" s="17" t="s">
        <v>210</v>
      </c>
      <c r="E95" s="41" t="s">
        <v>27</v>
      </c>
      <c r="F95" s="24">
        <f>F96</f>
        <v>1125280</v>
      </c>
      <c r="G95" s="24">
        <f t="shared" ref="G95:H95" si="55">G96</f>
        <v>6931316.5</v>
      </c>
      <c r="H95" s="24">
        <f t="shared" si="55"/>
        <v>910119.09</v>
      </c>
      <c r="I95" s="24">
        <f t="shared" si="39"/>
        <v>6021197.4100000001</v>
      </c>
      <c r="J95" s="24">
        <f t="shared" si="40"/>
        <v>80.88</v>
      </c>
      <c r="K95" s="24">
        <f t="shared" si="41"/>
        <v>13.13</v>
      </c>
      <c r="L95" s="24"/>
      <c r="M95" s="35"/>
      <c r="N95" s="35"/>
    </row>
    <row r="96" spans="1:14" s="7" customFormat="1" ht="31.2" x14ac:dyDescent="0.25">
      <c r="A96" s="33" t="s">
        <v>125</v>
      </c>
      <c r="B96" s="17">
        <v>992</v>
      </c>
      <c r="C96" s="34" t="s">
        <v>71</v>
      </c>
      <c r="D96" s="17" t="s">
        <v>210</v>
      </c>
      <c r="E96" s="41" t="s">
        <v>126</v>
      </c>
      <c r="F96" s="24">
        <f>1125280</f>
        <v>1125280</v>
      </c>
      <c r="G96" s="24">
        <v>6931316.5</v>
      </c>
      <c r="H96" s="24">
        <v>910119.09</v>
      </c>
      <c r="I96" s="24">
        <f t="shared" si="39"/>
        <v>6021197.4100000001</v>
      </c>
      <c r="J96" s="24">
        <f t="shared" si="40"/>
        <v>80.88</v>
      </c>
      <c r="K96" s="24">
        <f t="shared" si="41"/>
        <v>13.13</v>
      </c>
      <c r="L96" s="24"/>
      <c r="M96" s="35"/>
      <c r="N96" s="35"/>
    </row>
    <row r="97" spans="1:14" s="7" customFormat="1" ht="46.8" x14ac:dyDescent="0.25">
      <c r="A97" s="33" t="s">
        <v>565</v>
      </c>
      <c r="B97" s="17">
        <v>992</v>
      </c>
      <c r="C97" s="34" t="s">
        <v>71</v>
      </c>
      <c r="D97" s="17" t="s">
        <v>566</v>
      </c>
      <c r="E97" s="41" t="s">
        <v>27</v>
      </c>
      <c r="F97" s="24">
        <f>F98</f>
        <v>1200000</v>
      </c>
      <c r="G97" s="24">
        <f t="shared" ref="G97:H97" si="56">G98</f>
        <v>3400000</v>
      </c>
      <c r="H97" s="24">
        <f t="shared" si="56"/>
        <v>1293542.75</v>
      </c>
      <c r="I97" s="24">
        <f t="shared" si="39"/>
        <v>2106457.25</v>
      </c>
      <c r="J97" s="24">
        <f t="shared" si="40"/>
        <v>107.8</v>
      </c>
      <c r="K97" s="24">
        <f t="shared" si="41"/>
        <v>38.049999999999997</v>
      </c>
      <c r="L97" s="24"/>
      <c r="M97" s="35"/>
      <c r="N97" s="35"/>
    </row>
    <row r="98" spans="1:14" s="7" customFormat="1" ht="31.2" x14ac:dyDescent="0.25">
      <c r="A98" s="33" t="s">
        <v>125</v>
      </c>
      <c r="B98" s="17">
        <v>992</v>
      </c>
      <c r="C98" s="34" t="s">
        <v>71</v>
      </c>
      <c r="D98" s="17" t="s">
        <v>566</v>
      </c>
      <c r="E98" s="41" t="s">
        <v>126</v>
      </c>
      <c r="F98" s="24">
        <f>1200000</f>
        <v>1200000</v>
      </c>
      <c r="G98" s="24">
        <f t="shared" ref="G98" si="57">1200000+2200000</f>
        <v>3400000</v>
      </c>
      <c r="H98" s="24">
        <v>1293542.75</v>
      </c>
      <c r="I98" s="24">
        <f t="shared" si="39"/>
        <v>2106457.25</v>
      </c>
      <c r="J98" s="24">
        <f t="shared" si="40"/>
        <v>107.8</v>
      </c>
      <c r="K98" s="24">
        <f t="shared" si="41"/>
        <v>38.049999999999997</v>
      </c>
      <c r="L98" s="24"/>
      <c r="M98" s="35"/>
      <c r="N98" s="35"/>
    </row>
    <row r="99" spans="1:14" s="9" customFormat="1" ht="109.2" x14ac:dyDescent="0.3">
      <c r="A99" s="64" t="s">
        <v>424</v>
      </c>
      <c r="B99" s="17">
        <v>992</v>
      </c>
      <c r="C99" s="34" t="s">
        <v>71</v>
      </c>
      <c r="D99" s="17" t="s">
        <v>179</v>
      </c>
      <c r="E99" s="34" t="s">
        <v>27</v>
      </c>
      <c r="F99" s="24">
        <f>F100+F101</f>
        <v>1106149</v>
      </c>
      <c r="G99" s="24">
        <f t="shared" ref="G99:H99" si="58">G100+G101</f>
        <v>1616152</v>
      </c>
      <c r="H99" s="24">
        <f t="shared" si="58"/>
        <v>287287.82</v>
      </c>
      <c r="I99" s="24">
        <f t="shared" si="39"/>
        <v>1328864.18</v>
      </c>
      <c r="J99" s="24">
        <f t="shared" si="40"/>
        <v>25.97</v>
      </c>
      <c r="K99" s="24">
        <f t="shared" si="41"/>
        <v>17.78</v>
      </c>
      <c r="L99" s="24"/>
      <c r="M99" s="35"/>
      <c r="N99" s="35"/>
    </row>
    <row r="100" spans="1:14" s="9" customFormat="1" ht="31.2" x14ac:dyDescent="0.3">
      <c r="A100" s="30" t="s">
        <v>127</v>
      </c>
      <c r="B100" s="17">
        <v>992</v>
      </c>
      <c r="C100" s="34" t="s">
        <v>71</v>
      </c>
      <c r="D100" s="17" t="s">
        <v>179</v>
      </c>
      <c r="E100" s="34" t="s">
        <v>128</v>
      </c>
      <c r="F100" s="20">
        <v>1044943.64</v>
      </c>
      <c r="G100" s="20">
        <v>1044943.64</v>
      </c>
      <c r="H100" s="20">
        <v>287287.82</v>
      </c>
      <c r="I100" s="20">
        <f t="shared" si="39"/>
        <v>757655.82</v>
      </c>
      <c r="J100" s="20">
        <f t="shared" si="40"/>
        <v>27.49</v>
      </c>
      <c r="K100" s="20">
        <f t="shared" si="41"/>
        <v>27.49</v>
      </c>
      <c r="L100" s="20"/>
      <c r="M100" s="35"/>
      <c r="N100" s="35"/>
    </row>
    <row r="101" spans="1:14" s="9" customFormat="1" ht="31.2" x14ac:dyDescent="0.3">
      <c r="A101" s="33" t="s">
        <v>125</v>
      </c>
      <c r="B101" s="17">
        <v>992</v>
      </c>
      <c r="C101" s="34" t="s">
        <v>71</v>
      </c>
      <c r="D101" s="17" t="s">
        <v>179</v>
      </c>
      <c r="E101" s="41" t="s">
        <v>126</v>
      </c>
      <c r="F101" s="24">
        <f>61205.36</f>
        <v>61205.36</v>
      </c>
      <c r="G101" s="24">
        <f t="shared" ref="G101" si="59">61205.36+510003</f>
        <v>571208.36</v>
      </c>
      <c r="H101" s="24">
        <v>0</v>
      </c>
      <c r="I101" s="24">
        <f t="shared" si="39"/>
        <v>571208.36</v>
      </c>
      <c r="J101" s="24">
        <f t="shared" si="40"/>
        <v>0</v>
      </c>
      <c r="K101" s="24">
        <f t="shared" si="41"/>
        <v>0</v>
      </c>
      <c r="L101" s="24"/>
      <c r="M101" s="35"/>
      <c r="N101" s="35"/>
    </row>
    <row r="102" spans="1:14" s="9" customFormat="1" ht="62.4" x14ac:dyDescent="0.3">
      <c r="A102" s="43" t="s">
        <v>403</v>
      </c>
      <c r="B102" s="17">
        <v>992</v>
      </c>
      <c r="C102" s="34" t="s">
        <v>71</v>
      </c>
      <c r="D102" s="34" t="s">
        <v>226</v>
      </c>
      <c r="E102" s="34" t="s">
        <v>27</v>
      </c>
      <c r="F102" s="24">
        <f>F103</f>
        <v>574459</v>
      </c>
      <c r="G102" s="24">
        <f t="shared" ref="G102:H102" si="60">G103</f>
        <v>276867</v>
      </c>
      <c r="H102" s="24">
        <f t="shared" si="60"/>
        <v>10085.73</v>
      </c>
      <c r="I102" s="24">
        <f t="shared" si="39"/>
        <v>266781.27</v>
      </c>
      <c r="J102" s="24">
        <f t="shared" si="40"/>
        <v>1.76</v>
      </c>
      <c r="K102" s="24">
        <f t="shared" si="41"/>
        <v>3.64</v>
      </c>
      <c r="L102" s="24"/>
      <c r="M102" s="35"/>
      <c r="N102" s="35"/>
    </row>
    <row r="103" spans="1:14" s="9" customFormat="1" ht="31.2" x14ac:dyDescent="0.3">
      <c r="A103" s="30" t="s">
        <v>127</v>
      </c>
      <c r="B103" s="17">
        <v>992</v>
      </c>
      <c r="C103" s="34" t="s">
        <v>71</v>
      </c>
      <c r="D103" s="34" t="s">
        <v>226</v>
      </c>
      <c r="E103" s="34" t="s">
        <v>128</v>
      </c>
      <c r="F103" s="15">
        <f>574459</f>
        <v>574459</v>
      </c>
      <c r="G103" s="15">
        <f t="shared" ref="G103" si="61">574459-228424.93-69167.07</f>
        <v>276867</v>
      </c>
      <c r="H103" s="15">
        <v>10085.73</v>
      </c>
      <c r="I103" s="15">
        <f t="shared" si="39"/>
        <v>266781.27</v>
      </c>
      <c r="J103" s="15">
        <f t="shared" si="40"/>
        <v>1.76</v>
      </c>
      <c r="K103" s="15">
        <f t="shared" si="41"/>
        <v>3.64</v>
      </c>
      <c r="L103" s="15"/>
      <c r="M103" s="35"/>
      <c r="N103" s="35"/>
    </row>
    <row r="104" spans="1:14" s="9" customFormat="1" ht="15.6" x14ac:dyDescent="0.3">
      <c r="A104" s="54" t="s">
        <v>83</v>
      </c>
      <c r="B104" s="55">
        <v>992</v>
      </c>
      <c r="C104" s="56" t="s">
        <v>84</v>
      </c>
      <c r="D104" s="56" t="s">
        <v>154</v>
      </c>
      <c r="E104" s="56" t="s">
        <v>27</v>
      </c>
      <c r="F104" s="26">
        <f>F105</f>
        <v>2637416</v>
      </c>
      <c r="G104" s="26">
        <f t="shared" ref="G104:H104" si="62">G105</f>
        <v>2552304</v>
      </c>
      <c r="H104" s="26">
        <f t="shared" si="62"/>
        <v>402139</v>
      </c>
      <c r="I104" s="26">
        <f t="shared" si="39"/>
        <v>2150165</v>
      </c>
      <c r="J104" s="26">
        <f t="shared" si="40"/>
        <v>15.25</v>
      </c>
      <c r="K104" s="26">
        <f t="shared" si="41"/>
        <v>15.76</v>
      </c>
      <c r="L104" s="26"/>
      <c r="M104" s="35"/>
      <c r="N104" s="35"/>
    </row>
    <row r="105" spans="1:14" s="7" customFormat="1" ht="15.6" x14ac:dyDescent="0.25">
      <c r="A105" s="30" t="s">
        <v>110</v>
      </c>
      <c r="B105" s="16">
        <v>992</v>
      </c>
      <c r="C105" s="44" t="s">
        <v>85</v>
      </c>
      <c r="D105" s="44" t="s">
        <v>154</v>
      </c>
      <c r="E105" s="44" t="s">
        <v>27</v>
      </c>
      <c r="F105" s="24">
        <f>F107</f>
        <v>2637416</v>
      </c>
      <c r="G105" s="24">
        <f t="shared" ref="G105:H105" si="63">G107</f>
        <v>2552304</v>
      </c>
      <c r="H105" s="24">
        <f t="shared" si="63"/>
        <v>402139</v>
      </c>
      <c r="I105" s="24">
        <f t="shared" si="39"/>
        <v>2150165</v>
      </c>
      <c r="J105" s="24">
        <f t="shared" si="40"/>
        <v>15.25</v>
      </c>
      <c r="K105" s="24">
        <f t="shared" si="41"/>
        <v>15.76</v>
      </c>
      <c r="L105" s="24"/>
      <c r="M105" s="35"/>
      <c r="N105" s="35"/>
    </row>
    <row r="106" spans="1:14" s="7" customFormat="1" ht="46.8" x14ac:dyDescent="0.25">
      <c r="A106" s="50" t="s">
        <v>320</v>
      </c>
      <c r="B106" s="16">
        <v>992</v>
      </c>
      <c r="C106" s="44" t="s">
        <v>85</v>
      </c>
      <c r="D106" s="44" t="s">
        <v>155</v>
      </c>
      <c r="E106" s="44" t="s">
        <v>27</v>
      </c>
      <c r="F106" s="24">
        <f>F107</f>
        <v>2637416</v>
      </c>
      <c r="G106" s="24">
        <f t="shared" ref="G106:H109" si="64">G107</f>
        <v>2552304</v>
      </c>
      <c r="H106" s="24">
        <f t="shared" si="64"/>
        <v>402139</v>
      </c>
      <c r="I106" s="24">
        <f t="shared" si="39"/>
        <v>2150165</v>
      </c>
      <c r="J106" s="24">
        <f t="shared" si="40"/>
        <v>15.25</v>
      </c>
      <c r="K106" s="24">
        <f t="shared" si="41"/>
        <v>15.76</v>
      </c>
      <c r="L106" s="24"/>
      <c r="M106" s="35"/>
      <c r="N106" s="35"/>
    </row>
    <row r="107" spans="1:14" s="7" customFormat="1" ht="31.2" x14ac:dyDescent="0.25">
      <c r="A107" s="30" t="s">
        <v>318</v>
      </c>
      <c r="B107" s="16">
        <v>992</v>
      </c>
      <c r="C107" s="44" t="s">
        <v>85</v>
      </c>
      <c r="D107" s="44" t="s">
        <v>256</v>
      </c>
      <c r="E107" s="44" t="s">
        <v>27</v>
      </c>
      <c r="F107" s="24">
        <f>F108</f>
        <v>2637416</v>
      </c>
      <c r="G107" s="24">
        <f t="shared" si="64"/>
        <v>2552304</v>
      </c>
      <c r="H107" s="24">
        <f t="shared" si="64"/>
        <v>402139</v>
      </c>
      <c r="I107" s="24">
        <f t="shared" si="39"/>
        <v>2150165</v>
      </c>
      <c r="J107" s="24">
        <f t="shared" si="40"/>
        <v>15.25</v>
      </c>
      <c r="K107" s="24">
        <f t="shared" si="41"/>
        <v>15.76</v>
      </c>
      <c r="L107" s="24"/>
      <c r="M107" s="35"/>
      <c r="N107" s="35"/>
    </row>
    <row r="108" spans="1:14" s="7" customFormat="1" ht="15.6" x14ac:dyDescent="0.25">
      <c r="A108" s="30" t="s">
        <v>319</v>
      </c>
      <c r="B108" s="16">
        <v>992</v>
      </c>
      <c r="C108" s="44" t="s">
        <v>85</v>
      </c>
      <c r="D108" s="44" t="s">
        <v>253</v>
      </c>
      <c r="E108" s="44" t="s">
        <v>27</v>
      </c>
      <c r="F108" s="24">
        <f>F109</f>
        <v>2637416</v>
      </c>
      <c r="G108" s="24">
        <f t="shared" si="64"/>
        <v>2552304</v>
      </c>
      <c r="H108" s="24">
        <f t="shared" si="64"/>
        <v>402139</v>
      </c>
      <c r="I108" s="24">
        <f t="shared" si="39"/>
        <v>2150165</v>
      </c>
      <c r="J108" s="24">
        <f t="shared" si="40"/>
        <v>15.25</v>
      </c>
      <c r="K108" s="24">
        <f t="shared" si="41"/>
        <v>15.76</v>
      </c>
      <c r="L108" s="24"/>
      <c r="M108" s="35"/>
      <c r="N108" s="35"/>
    </row>
    <row r="109" spans="1:14" s="7" customFormat="1" ht="62.4" x14ac:dyDescent="0.25">
      <c r="A109" s="43" t="s">
        <v>102</v>
      </c>
      <c r="B109" s="17">
        <v>992</v>
      </c>
      <c r="C109" s="34" t="s">
        <v>85</v>
      </c>
      <c r="D109" s="34" t="s">
        <v>255</v>
      </c>
      <c r="E109" s="34" t="s">
        <v>27</v>
      </c>
      <c r="F109" s="24">
        <f>F110</f>
        <v>2637416</v>
      </c>
      <c r="G109" s="24">
        <f t="shared" si="64"/>
        <v>2552304</v>
      </c>
      <c r="H109" s="24">
        <f t="shared" si="64"/>
        <v>402139</v>
      </c>
      <c r="I109" s="24">
        <f t="shared" si="39"/>
        <v>2150165</v>
      </c>
      <c r="J109" s="24">
        <f t="shared" si="40"/>
        <v>15.25</v>
      </c>
      <c r="K109" s="24">
        <f t="shared" si="41"/>
        <v>15.76</v>
      </c>
      <c r="L109" s="24"/>
      <c r="M109" s="35"/>
      <c r="N109" s="35"/>
    </row>
    <row r="110" spans="1:14" s="9" customFormat="1" ht="31.2" x14ac:dyDescent="0.3">
      <c r="A110" s="30" t="s">
        <v>127</v>
      </c>
      <c r="B110" s="17">
        <v>992</v>
      </c>
      <c r="C110" s="34" t="s">
        <v>85</v>
      </c>
      <c r="D110" s="34" t="s">
        <v>255</v>
      </c>
      <c r="E110" s="34" t="s">
        <v>128</v>
      </c>
      <c r="F110" s="15">
        <f>2637416</f>
        <v>2637416</v>
      </c>
      <c r="G110" s="15">
        <f t="shared" ref="G110" si="65">2637416-65330.06-19781.94</f>
        <v>2552304</v>
      </c>
      <c r="H110" s="15">
        <v>402139</v>
      </c>
      <c r="I110" s="15">
        <f t="shared" si="39"/>
        <v>2150165</v>
      </c>
      <c r="J110" s="15">
        <f t="shared" si="40"/>
        <v>15.25</v>
      </c>
      <c r="K110" s="15">
        <f t="shared" si="41"/>
        <v>15.76</v>
      </c>
      <c r="L110" s="15"/>
      <c r="M110" s="35"/>
      <c r="N110" s="35"/>
    </row>
    <row r="111" spans="1:14" s="9" customFormat="1" ht="31.2" x14ac:dyDescent="0.3">
      <c r="A111" s="54" t="s">
        <v>182</v>
      </c>
      <c r="B111" s="65">
        <v>992</v>
      </c>
      <c r="C111" s="56" t="s">
        <v>183</v>
      </c>
      <c r="D111" s="56" t="s">
        <v>184</v>
      </c>
      <c r="E111" s="56" t="s">
        <v>27</v>
      </c>
      <c r="F111" s="19">
        <f>F112</f>
        <v>5197302</v>
      </c>
      <c r="G111" s="19">
        <f t="shared" ref="G111:H111" si="66">G112</f>
        <v>7912337</v>
      </c>
      <c r="H111" s="19">
        <f t="shared" si="66"/>
        <v>1780373.59</v>
      </c>
      <c r="I111" s="19">
        <f t="shared" si="39"/>
        <v>6131963.4100000001</v>
      </c>
      <c r="J111" s="19">
        <f t="shared" si="40"/>
        <v>34.26</v>
      </c>
      <c r="K111" s="19">
        <f t="shared" si="41"/>
        <v>22.5</v>
      </c>
      <c r="L111" s="19"/>
      <c r="M111" s="35"/>
      <c r="N111" s="35"/>
    </row>
    <row r="112" spans="1:14" s="9" customFormat="1" ht="46.8" x14ac:dyDescent="0.3">
      <c r="A112" s="43" t="s">
        <v>370</v>
      </c>
      <c r="B112" s="17">
        <v>992</v>
      </c>
      <c r="C112" s="34" t="s">
        <v>368</v>
      </c>
      <c r="D112" s="34" t="s">
        <v>184</v>
      </c>
      <c r="E112" s="34" t="s">
        <v>27</v>
      </c>
      <c r="F112" s="23">
        <f t="shared" ref="F112:H118" si="67">F113</f>
        <v>5197302</v>
      </c>
      <c r="G112" s="23">
        <f t="shared" si="67"/>
        <v>7912337</v>
      </c>
      <c r="H112" s="23">
        <f t="shared" si="67"/>
        <v>1780373.59</v>
      </c>
      <c r="I112" s="23">
        <f t="shared" si="39"/>
        <v>6131963.4100000001</v>
      </c>
      <c r="J112" s="23">
        <f t="shared" si="40"/>
        <v>34.26</v>
      </c>
      <c r="K112" s="23">
        <f t="shared" si="41"/>
        <v>22.5</v>
      </c>
      <c r="L112" s="23"/>
      <c r="M112" s="35"/>
      <c r="N112" s="35"/>
    </row>
    <row r="113" spans="1:14" s="9" customFormat="1" ht="78" x14ac:dyDescent="0.3">
      <c r="A113" s="66" t="s">
        <v>325</v>
      </c>
      <c r="B113" s="17">
        <v>992</v>
      </c>
      <c r="C113" s="34" t="s">
        <v>368</v>
      </c>
      <c r="D113" s="17" t="s">
        <v>158</v>
      </c>
      <c r="E113" s="34" t="s">
        <v>27</v>
      </c>
      <c r="F113" s="20">
        <f t="shared" si="67"/>
        <v>5197302</v>
      </c>
      <c r="G113" s="20">
        <f t="shared" si="67"/>
        <v>7912337</v>
      </c>
      <c r="H113" s="20">
        <f t="shared" si="67"/>
        <v>1780373.59</v>
      </c>
      <c r="I113" s="20">
        <f t="shared" si="39"/>
        <v>6131963.4100000001</v>
      </c>
      <c r="J113" s="20">
        <f t="shared" si="40"/>
        <v>34.26</v>
      </c>
      <c r="K113" s="20">
        <f t="shared" si="41"/>
        <v>22.5</v>
      </c>
      <c r="L113" s="20"/>
      <c r="M113" s="35"/>
      <c r="N113" s="35"/>
    </row>
    <row r="114" spans="1:14" s="9" customFormat="1" ht="46.8" x14ac:dyDescent="0.3">
      <c r="A114" s="66" t="s">
        <v>159</v>
      </c>
      <c r="B114" s="17">
        <v>992</v>
      </c>
      <c r="C114" s="34" t="s">
        <v>368</v>
      </c>
      <c r="D114" s="17" t="s">
        <v>160</v>
      </c>
      <c r="E114" s="34" t="s">
        <v>27</v>
      </c>
      <c r="F114" s="20">
        <f>F115</f>
        <v>5197302</v>
      </c>
      <c r="G114" s="20">
        <f t="shared" si="67"/>
        <v>7912337</v>
      </c>
      <c r="H114" s="20">
        <f t="shared" si="67"/>
        <v>1780373.59</v>
      </c>
      <c r="I114" s="20">
        <f t="shared" si="39"/>
        <v>6131963.4100000001</v>
      </c>
      <c r="J114" s="20">
        <f t="shared" si="40"/>
        <v>34.26</v>
      </c>
      <c r="K114" s="20">
        <f t="shared" si="41"/>
        <v>22.5</v>
      </c>
      <c r="L114" s="20"/>
      <c r="M114" s="35"/>
      <c r="N114" s="35"/>
    </row>
    <row r="115" spans="1:14" s="9" customFormat="1" ht="46.8" x14ac:dyDescent="0.3">
      <c r="A115" s="30" t="s">
        <v>613</v>
      </c>
      <c r="B115" s="17">
        <v>992</v>
      </c>
      <c r="C115" s="34" t="s">
        <v>368</v>
      </c>
      <c r="D115" s="17" t="s">
        <v>612</v>
      </c>
      <c r="E115" s="34" t="s">
        <v>27</v>
      </c>
      <c r="F115" s="20">
        <f>F116+F118+F120</f>
        <v>5197302</v>
      </c>
      <c r="G115" s="20">
        <f t="shared" ref="G115:H115" si="68">G116+G118+G120</f>
        <v>7912337</v>
      </c>
      <c r="H115" s="20">
        <f t="shared" si="68"/>
        <v>1780373.59</v>
      </c>
      <c r="I115" s="20">
        <f t="shared" si="39"/>
        <v>6131963.4100000001</v>
      </c>
      <c r="J115" s="20">
        <f t="shared" si="40"/>
        <v>34.26</v>
      </c>
      <c r="K115" s="20">
        <f t="shared" si="41"/>
        <v>22.5</v>
      </c>
      <c r="L115" s="20"/>
      <c r="M115" s="35"/>
      <c r="N115" s="35"/>
    </row>
    <row r="116" spans="1:14" s="9" customFormat="1" ht="46.8" x14ac:dyDescent="0.3">
      <c r="A116" s="30" t="s">
        <v>420</v>
      </c>
      <c r="B116" s="17">
        <v>992</v>
      </c>
      <c r="C116" s="34" t="s">
        <v>368</v>
      </c>
      <c r="D116" s="17" t="s">
        <v>324</v>
      </c>
      <c r="E116" s="34" t="s">
        <v>27</v>
      </c>
      <c r="F116" s="20">
        <f t="shared" si="67"/>
        <v>555340</v>
      </c>
      <c r="G116" s="20">
        <f t="shared" si="67"/>
        <v>1653460</v>
      </c>
      <c r="H116" s="20">
        <f t="shared" si="67"/>
        <v>0</v>
      </c>
      <c r="I116" s="20">
        <f t="shared" si="39"/>
        <v>1653460</v>
      </c>
      <c r="J116" s="20">
        <f t="shared" si="40"/>
        <v>0</v>
      </c>
      <c r="K116" s="20">
        <f t="shared" si="41"/>
        <v>0</v>
      </c>
      <c r="L116" s="20"/>
      <c r="M116" s="35"/>
      <c r="N116" s="35"/>
    </row>
    <row r="117" spans="1:14" s="9" customFormat="1" ht="42.6" customHeight="1" x14ac:dyDescent="0.3">
      <c r="A117" s="33" t="s">
        <v>125</v>
      </c>
      <c r="B117" s="17">
        <v>992</v>
      </c>
      <c r="C117" s="34" t="s">
        <v>368</v>
      </c>
      <c r="D117" s="17" t="s">
        <v>324</v>
      </c>
      <c r="E117" s="34" t="s">
        <v>126</v>
      </c>
      <c r="F117" s="24">
        <f>555340</f>
        <v>555340</v>
      </c>
      <c r="G117" s="24">
        <f t="shared" ref="G117" si="69">555340+1098120</f>
        <v>1653460</v>
      </c>
      <c r="H117" s="24">
        <v>0</v>
      </c>
      <c r="I117" s="24">
        <f t="shared" si="39"/>
        <v>1653460</v>
      </c>
      <c r="J117" s="24">
        <f t="shared" si="40"/>
        <v>0</v>
      </c>
      <c r="K117" s="24">
        <f t="shared" si="41"/>
        <v>0</v>
      </c>
      <c r="L117" s="24"/>
      <c r="M117" s="35"/>
      <c r="N117" s="35"/>
    </row>
    <row r="118" spans="1:14" s="9" customFormat="1" ht="31.2" x14ac:dyDescent="0.3">
      <c r="A118" s="30" t="s">
        <v>615</v>
      </c>
      <c r="B118" s="17">
        <v>992</v>
      </c>
      <c r="C118" s="34" t="s">
        <v>368</v>
      </c>
      <c r="D118" s="17" t="s">
        <v>614</v>
      </c>
      <c r="E118" s="34" t="s">
        <v>27</v>
      </c>
      <c r="F118" s="20">
        <f t="shared" si="67"/>
        <v>0</v>
      </c>
      <c r="G118" s="20">
        <f t="shared" si="67"/>
        <v>1616915</v>
      </c>
      <c r="H118" s="20">
        <f t="shared" si="67"/>
        <v>0</v>
      </c>
      <c r="I118" s="20">
        <f t="shared" si="39"/>
        <v>1616915</v>
      </c>
      <c r="J118" s="20" t="s">
        <v>668</v>
      </c>
      <c r="K118" s="20">
        <f t="shared" si="41"/>
        <v>0</v>
      </c>
      <c r="L118" s="20"/>
      <c r="M118" s="35"/>
      <c r="N118" s="35"/>
    </row>
    <row r="119" spans="1:14" s="9" customFormat="1" ht="49.2" customHeight="1" x14ac:dyDescent="0.3">
      <c r="A119" s="33" t="s">
        <v>125</v>
      </c>
      <c r="B119" s="17">
        <v>992</v>
      </c>
      <c r="C119" s="34" t="s">
        <v>368</v>
      </c>
      <c r="D119" s="17" t="s">
        <v>614</v>
      </c>
      <c r="E119" s="34" t="s">
        <v>126</v>
      </c>
      <c r="F119" s="24">
        <v>0</v>
      </c>
      <c r="G119" s="24">
        <v>1616915</v>
      </c>
      <c r="H119" s="24">
        <v>0</v>
      </c>
      <c r="I119" s="24">
        <f t="shared" si="39"/>
        <v>1616915</v>
      </c>
      <c r="J119" s="24" t="s">
        <v>668</v>
      </c>
      <c r="K119" s="24">
        <f t="shared" si="41"/>
        <v>0</v>
      </c>
      <c r="L119" s="24"/>
      <c r="M119" s="35"/>
      <c r="N119" s="35"/>
    </row>
    <row r="120" spans="1:14" s="9" customFormat="1" ht="31.2" x14ac:dyDescent="0.3">
      <c r="A120" s="30" t="s">
        <v>369</v>
      </c>
      <c r="B120" s="17">
        <v>992</v>
      </c>
      <c r="C120" s="34" t="s">
        <v>368</v>
      </c>
      <c r="D120" s="17" t="s">
        <v>433</v>
      </c>
      <c r="E120" s="34" t="s">
        <v>27</v>
      </c>
      <c r="F120" s="20">
        <f>F121+F122</f>
        <v>4641962</v>
      </c>
      <c r="G120" s="20">
        <f t="shared" ref="G120:H120" si="70">G121+G122</f>
        <v>4641962</v>
      </c>
      <c r="H120" s="20">
        <f t="shared" si="70"/>
        <v>1780373.59</v>
      </c>
      <c r="I120" s="20">
        <f t="shared" si="39"/>
        <v>2861588.41</v>
      </c>
      <c r="J120" s="20">
        <f t="shared" si="40"/>
        <v>38.35</v>
      </c>
      <c r="K120" s="20">
        <f t="shared" si="41"/>
        <v>38.35</v>
      </c>
      <c r="L120" s="20"/>
      <c r="M120" s="35"/>
      <c r="N120" s="35"/>
    </row>
    <row r="121" spans="1:14" s="9" customFormat="1" ht="31.2" x14ac:dyDescent="0.3">
      <c r="A121" s="33" t="s">
        <v>125</v>
      </c>
      <c r="B121" s="17">
        <v>992</v>
      </c>
      <c r="C121" s="34" t="s">
        <v>368</v>
      </c>
      <c r="D121" s="17" t="s">
        <v>433</v>
      </c>
      <c r="E121" s="34" t="s">
        <v>126</v>
      </c>
      <c r="F121" s="24">
        <v>3441962</v>
      </c>
      <c r="G121" s="24">
        <v>3441962</v>
      </c>
      <c r="H121" s="24">
        <v>1780373.59</v>
      </c>
      <c r="I121" s="24">
        <f t="shared" si="39"/>
        <v>1661588.41</v>
      </c>
      <c r="J121" s="24">
        <f t="shared" si="40"/>
        <v>51.73</v>
      </c>
      <c r="K121" s="24">
        <f t="shared" si="41"/>
        <v>51.73</v>
      </c>
      <c r="L121" s="24"/>
      <c r="M121" s="35"/>
      <c r="N121" s="35"/>
    </row>
    <row r="122" spans="1:14" s="9" customFormat="1" ht="62.4" x14ac:dyDescent="0.3">
      <c r="A122" s="33" t="s">
        <v>229</v>
      </c>
      <c r="B122" s="17">
        <v>992</v>
      </c>
      <c r="C122" s="34" t="s">
        <v>368</v>
      </c>
      <c r="D122" s="17" t="s">
        <v>433</v>
      </c>
      <c r="E122" s="34" t="s">
        <v>116</v>
      </c>
      <c r="F122" s="24">
        <v>1200000</v>
      </c>
      <c r="G122" s="24">
        <v>1200000</v>
      </c>
      <c r="H122" s="24">
        <v>0</v>
      </c>
      <c r="I122" s="24">
        <f t="shared" si="39"/>
        <v>1200000</v>
      </c>
      <c r="J122" s="24" t="s">
        <v>668</v>
      </c>
      <c r="K122" s="24">
        <f t="shared" si="41"/>
        <v>0</v>
      </c>
      <c r="L122" s="24"/>
      <c r="M122" s="35"/>
      <c r="N122" s="35"/>
    </row>
    <row r="123" spans="1:14" s="9" customFormat="1" ht="15.6" x14ac:dyDescent="0.3">
      <c r="A123" s="54" t="s">
        <v>59</v>
      </c>
      <c r="B123" s="55">
        <v>992</v>
      </c>
      <c r="C123" s="56" t="s">
        <v>60</v>
      </c>
      <c r="D123" s="55" t="s">
        <v>154</v>
      </c>
      <c r="E123" s="56" t="s">
        <v>27</v>
      </c>
      <c r="F123" s="21">
        <f>F147+F163+F124+F181+F137</f>
        <v>190676461.56999999</v>
      </c>
      <c r="G123" s="21">
        <f t="shared" ref="G123:H123" si="71">G147+G163+G124+G181+G137</f>
        <v>206749542.22</v>
      </c>
      <c r="H123" s="21">
        <f t="shared" si="71"/>
        <v>60722322.890000001</v>
      </c>
      <c r="I123" s="21">
        <f t="shared" si="39"/>
        <v>146027219.33000001</v>
      </c>
      <c r="J123" s="21">
        <f t="shared" si="40"/>
        <v>31.85</v>
      </c>
      <c r="K123" s="21">
        <f t="shared" si="41"/>
        <v>29.37</v>
      </c>
      <c r="L123" s="21"/>
      <c r="M123" s="35"/>
      <c r="N123" s="35"/>
    </row>
    <row r="124" spans="1:14" s="9" customFormat="1" ht="15.6" x14ac:dyDescent="0.3">
      <c r="A124" s="30" t="s">
        <v>174</v>
      </c>
      <c r="B124" s="17">
        <v>992</v>
      </c>
      <c r="C124" s="34" t="s">
        <v>175</v>
      </c>
      <c r="D124" s="17" t="s">
        <v>154</v>
      </c>
      <c r="E124" s="34" t="s">
        <v>27</v>
      </c>
      <c r="F124" s="20">
        <f>F125+F130</f>
        <v>5192974.49</v>
      </c>
      <c r="G124" s="20">
        <f t="shared" ref="G124:H124" si="72">G125+G130</f>
        <v>4124309.27</v>
      </c>
      <c r="H124" s="20">
        <f t="shared" si="72"/>
        <v>718047.27</v>
      </c>
      <c r="I124" s="20">
        <f t="shared" si="39"/>
        <v>3406262</v>
      </c>
      <c r="J124" s="20">
        <f t="shared" si="40"/>
        <v>13.83</v>
      </c>
      <c r="K124" s="20">
        <f t="shared" si="41"/>
        <v>17.41</v>
      </c>
      <c r="L124" s="20"/>
      <c r="M124" s="35"/>
      <c r="N124" s="35"/>
    </row>
    <row r="125" spans="1:14" s="9" customFormat="1" ht="62.4" x14ac:dyDescent="0.3">
      <c r="A125" s="50" t="s">
        <v>462</v>
      </c>
      <c r="B125" s="16">
        <v>992</v>
      </c>
      <c r="C125" s="44" t="s">
        <v>175</v>
      </c>
      <c r="D125" s="44" t="s">
        <v>461</v>
      </c>
      <c r="E125" s="44" t="s">
        <v>27</v>
      </c>
      <c r="F125" s="24">
        <f>F126</f>
        <v>1786579.27</v>
      </c>
      <c r="G125" s="24">
        <f t="shared" ref="G125:H128" si="73">G126</f>
        <v>117914.05</v>
      </c>
      <c r="H125" s="24">
        <f t="shared" si="73"/>
        <v>0</v>
      </c>
      <c r="I125" s="24">
        <f t="shared" si="39"/>
        <v>117914.05</v>
      </c>
      <c r="J125" s="24">
        <f t="shared" si="40"/>
        <v>0</v>
      </c>
      <c r="K125" s="24">
        <f t="shared" si="41"/>
        <v>0</v>
      </c>
      <c r="L125" s="24"/>
      <c r="M125" s="35"/>
      <c r="N125" s="35"/>
    </row>
    <row r="126" spans="1:14" s="9" customFormat="1" ht="46.8" x14ac:dyDescent="0.3">
      <c r="A126" s="30" t="s">
        <v>464</v>
      </c>
      <c r="B126" s="16">
        <v>992</v>
      </c>
      <c r="C126" s="44" t="s">
        <v>175</v>
      </c>
      <c r="D126" s="44" t="s">
        <v>466</v>
      </c>
      <c r="E126" s="44" t="s">
        <v>27</v>
      </c>
      <c r="F126" s="24">
        <f>F127</f>
        <v>1786579.27</v>
      </c>
      <c r="G126" s="24">
        <f t="shared" si="73"/>
        <v>117914.05</v>
      </c>
      <c r="H126" s="24">
        <f t="shared" si="73"/>
        <v>0</v>
      </c>
      <c r="I126" s="24">
        <f t="shared" si="39"/>
        <v>117914.05</v>
      </c>
      <c r="J126" s="24">
        <f t="shared" si="40"/>
        <v>0</v>
      </c>
      <c r="K126" s="24">
        <f t="shared" si="41"/>
        <v>0</v>
      </c>
      <c r="L126" s="24"/>
      <c r="M126" s="35"/>
      <c r="N126" s="35"/>
    </row>
    <row r="127" spans="1:14" s="9" customFormat="1" ht="46.8" x14ac:dyDescent="0.3">
      <c r="A127" s="30" t="s">
        <v>465</v>
      </c>
      <c r="B127" s="16">
        <v>992</v>
      </c>
      <c r="C127" s="44" t="s">
        <v>175</v>
      </c>
      <c r="D127" s="44" t="s">
        <v>467</v>
      </c>
      <c r="E127" s="44" t="s">
        <v>27</v>
      </c>
      <c r="F127" s="24">
        <f>F128</f>
        <v>1786579.27</v>
      </c>
      <c r="G127" s="24">
        <f t="shared" si="73"/>
        <v>117914.05</v>
      </c>
      <c r="H127" s="24">
        <f t="shared" si="73"/>
        <v>0</v>
      </c>
      <c r="I127" s="24">
        <f t="shared" si="39"/>
        <v>117914.05</v>
      </c>
      <c r="J127" s="24">
        <f t="shared" si="40"/>
        <v>0</v>
      </c>
      <c r="K127" s="24">
        <f t="shared" si="41"/>
        <v>0</v>
      </c>
      <c r="L127" s="24"/>
      <c r="M127" s="35"/>
      <c r="N127" s="35"/>
    </row>
    <row r="128" spans="1:14" s="9" customFormat="1" ht="46.8" x14ac:dyDescent="0.3">
      <c r="A128" s="67" t="s">
        <v>452</v>
      </c>
      <c r="B128" s="16">
        <v>992</v>
      </c>
      <c r="C128" s="44" t="s">
        <v>175</v>
      </c>
      <c r="D128" s="16" t="s">
        <v>463</v>
      </c>
      <c r="E128" s="44" t="s">
        <v>27</v>
      </c>
      <c r="F128" s="24">
        <f>F129</f>
        <v>1786579.27</v>
      </c>
      <c r="G128" s="24">
        <f t="shared" si="73"/>
        <v>117914.05</v>
      </c>
      <c r="H128" s="24">
        <f t="shared" si="73"/>
        <v>0</v>
      </c>
      <c r="I128" s="24">
        <f t="shared" si="39"/>
        <v>117914.05</v>
      </c>
      <c r="J128" s="24">
        <f t="shared" si="40"/>
        <v>0</v>
      </c>
      <c r="K128" s="24">
        <f t="shared" si="41"/>
        <v>0</v>
      </c>
      <c r="L128" s="24"/>
      <c r="M128" s="35"/>
      <c r="N128" s="35"/>
    </row>
    <row r="129" spans="1:14" s="9" customFormat="1" ht="31.2" x14ac:dyDescent="0.3">
      <c r="A129" s="46" t="s">
        <v>125</v>
      </c>
      <c r="B129" s="16">
        <v>992</v>
      </c>
      <c r="C129" s="44" t="s">
        <v>175</v>
      </c>
      <c r="D129" s="16" t="s">
        <v>463</v>
      </c>
      <c r="E129" s="44" t="s">
        <v>126</v>
      </c>
      <c r="F129" s="15">
        <f>1786579.27</f>
        <v>1786579.27</v>
      </c>
      <c r="G129" s="15">
        <f t="shared" ref="G129" si="74">1786579.27-1668665.22</f>
        <v>117914.05</v>
      </c>
      <c r="H129" s="15">
        <v>0</v>
      </c>
      <c r="I129" s="15">
        <f t="shared" si="39"/>
        <v>117914.05</v>
      </c>
      <c r="J129" s="15">
        <f t="shared" si="40"/>
        <v>0</v>
      </c>
      <c r="K129" s="15">
        <f t="shared" si="41"/>
        <v>0</v>
      </c>
      <c r="L129" s="15"/>
      <c r="M129" s="35"/>
      <c r="N129" s="35"/>
    </row>
    <row r="130" spans="1:14" s="9" customFormat="1" ht="46.8" x14ac:dyDescent="0.3">
      <c r="A130" s="50" t="s">
        <v>425</v>
      </c>
      <c r="B130" s="16">
        <v>992</v>
      </c>
      <c r="C130" s="44" t="s">
        <v>175</v>
      </c>
      <c r="D130" s="44" t="s">
        <v>225</v>
      </c>
      <c r="E130" s="44" t="s">
        <v>27</v>
      </c>
      <c r="F130" s="24">
        <f>F131</f>
        <v>3406395.22</v>
      </c>
      <c r="G130" s="24">
        <f t="shared" ref="G130:H131" si="75">G131</f>
        <v>4006395.22</v>
      </c>
      <c r="H130" s="24">
        <f t="shared" si="75"/>
        <v>718047.27</v>
      </c>
      <c r="I130" s="24">
        <f t="shared" si="39"/>
        <v>3288347.95</v>
      </c>
      <c r="J130" s="24">
        <f t="shared" si="40"/>
        <v>21.08</v>
      </c>
      <c r="K130" s="24">
        <f t="shared" si="41"/>
        <v>17.920000000000002</v>
      </c>
      <c r="L130" s="24"/>
      <c r="M130" s="35"/>
      <c r="N130" s="35"/>
    </row>
    <row r="131" spans="1:14" s="9" customFormat="1" ht="31.2" x14ac:dyDescent="0.3">
      <c r="A131" s="30" t="s">
        <v>537</v>
      </c>
      <c r="B131" s="16">
        <v>992</v>
      </c>
      <c r="C131" s="44" t="s">
        <v>175</v>
      </c>
      <c r="D131" s="44" t="s">
        <v>532</v>
      </c>
      <c r="E131" s="44" t="s">
        <v>27</v>
      </c>
      <c r="F131" s="24">
        <f>F132</f>
        <v>3406395.22</v>
      </c>
      <c r="G131" s="24">
        <f t="shared" si="75"/>
        <v>4006395.22</v>
      </c>
      <c r="H131" s="24">
        <f t="shared" si="75"/>
        <v>718047.27</v>
      </c>
      <c r="I131" s="24">
        <f t="shared" si="39"/>
        <v>3288347.95</v>
      </c>
      <c r="J131" s="24">
        <f t="shared" si="40"/>
        <v>21.08</v>
      </c>
      <c r="K131" s="24">
        <f t="shared" si="41"/>
        <v>17.920000000000002</v>
      </c>
      <c r="L131" s="24"/>
      <c r="M131" s="35"/>
      <c r="N131" s="35"/>
    </row>
    <row r="132" spans="1:14" s="9" customFormat="1" ht="62.4" x14ac:dyDescent="0.3">
      <c r="A132" s="30" t="s">
        <v>531</v>
      </c>
      <c r="B132" s="16">
        <v>992</v>
      </c>
      <c r="C132" s="44" t="s">
        <v>175</v>
      </c>
      <c r="D132" s="44" t="s">
        <v>538</v>
      </c>
      <c r="E132" s="44" t="s">
        <v>27</v>
      </c>
      <c r="F132" s="24">
        <f>F135+F133</f>
        <v>3406395.22</v>
      </c>
      <c r="G132" s="24">
        <f t="shared" ref="G132:H132" si="76">G135+G133</f>
        <v>4006395.22</v>
      </c>
      <c r="H132" s="24">
        <f t="shared" si="76"/>
        <v>718047.27</v>
      </c>
      <c r="I132" s="24">
        <f t="shared" si="39"/>
        <v>3288347.95</v>
      </c>
      <c r="J132" s="24">
        <f t="shared" si="40"/>
        <v>21.08</v>
      </c>
      <c r="K132" s="24">
        <f t="shared" si="41"/>
        <v>17.920000000000002</v>
      </c>
      <c r="L132" s="24"/>
      <c r="M132" s="35"/>
      <c r="N132" s="35"/>
    </row>
    <row r="133" spans="1:14" s="9" customFormat="1" ht="49.95" customHeight="1" x14ac:dyDescent="0.3">
      <c r="A133" s="67" t="s">
        <v>501</v>
      </c>
      <c r="B133" s="16">
        <v>992</v>
      </c>
      <c r="C133" s="44" t="s">
        <v>175</v>
      </c>
      <c r="D133" s="16" t="s">
        <v>539</v>
      </c>
      <c r="E133" s="44" t="s">
        <v>27</v>
      </c>
      <c r="F133" s="24">
        <f>F134</f>
        <v>100000</v>
      </c>
      <c r="G133" s="24">
        <f t="shared" ref="G133:H133" si="77">G134</f>
        <v>700000</v>
      </c>
      <c r="H133" s="24">
        <f t="shared" si="77"/>
        <v>0</v>
      </c>
      <c r="I133" s="24">
        <f t="shared" si="39"/>
        <v>700000</v>
      </c>
      <c r="J133" s="24">
        <f t="shared" si="40"/>
        <v>0</v>
      </c>
      <c r="K133" s="24">
        <f t="shared" si="41"/>
        <v>0</v>
      </c>
      <c r="L133" s="24"/>
      <c r="M133" s="35"/>
      <c r="N133" s="35"/>
    </row>
    <row r="134" spans="1:14" s="9" customFormat="1" ht="31.2" x14ac:dyDescent="0.3">
      <c r="A134" s="46" t="s">
        <v>125</v>
      </c>
      <c r="B134" s="16">
        <v>992</v>
      </c>
      <c r="C134" s="44" t="s">
        <v>175</v>
      </c>
      <c r="D134" s="16" t="s">
        <v>539</v>
      </c>
      <c r="E134" s="44" t="s">
        <v>126</v>
      </c>
      <c r="F134" s="15">
        <f>100000</f>
        <v>100000</v>
      </c>
      <c r="G134" s="15">
        <f t="shared" ref="G134" si="78">100000+600000</f>
        <v>700000</v>
      </c>
      <c r="H134" s="15">
        <v>0</v>
      </c>
      <c r="I134" s="15">
        <f t="shared" si="39"/>
        <v>700000</v>
      </c>
      <c r="J134" s="15">
        <f t="shared" si="40"/>
        <v>0</v>
      </c>
      <c r="K134" s="15">
        <f t="shared" si="41"/>
        <v>0</v>
      </c>
      <c r="L134" s="15"/>
      <c r="M134" s="35"/>
      <c r="N134" s="35"/>
    </row>
    <row r="135" spans="1:14" s="9" customFormat="1" ht="78" x14ac:dyDescent="0.3">
      <c r="A135" s="67" t="s">
        <v>502</v>
      </c>
      <c r="B135" s="16">
        <v>992</v>
      </c>
      <c r="C135" s="44" t="s">
        <v>175</v>
      </c>
      <c r="D135" s="16" t="s">
        <v>556</v>
      </c>
      <c r="E135" s="44" t="s">
        <v>27</v>
      </c>
      <c r="F135" s="24">
        <f>F136</f>
        <v>3306395.22</v>
      </c>
      <c r="G135" s="24">
        <f t="shared" ref="G135:H135" si="79">G136</f>
        <v>3306395.22</v>
      </c>
      <c r="H135" s="24">
        <f t="shared" si="79"/>
        <v>718047.27</v>
      </c>
      <c r="I135" s="24">
        <f t="shared" si="39"/>
        <v>2588347.9500000002</v>
      </c>
      <c r="J135" s="24">
        <f t="shared" si="40"/>
        <v>21.72</v>
      </c>
      <c r="K135" s="24">
        <f t="shared" si="41"/>
        <v>21.72</v>
      </c>
      <c r="L135" s="24"/>
      <c r="M135" s="35"/>
      <c r="N135" s="35"/>
    </row>
    <row r="136" spans="1:14" s="9" customFormat="1" ht="31.2" x14ac:dyDescent="0.3">
      <c r="A136" s="46" t="s">
        <v>125</v>
      </c>
      <c r="B136" s="16">
        <v>992</v>
      </c>
      <c r="C136" s="44" t="s">
        <v>175</v>
      </c>
      <c r="D136" s="16" t="s">
        <v>540</v>
      </c>
      <c r="E136" s="44" t="s">
        <v>126</v>
      </c>
      <c r="F136" s="15">
        <f>2102922.68+1203472.54</f>
        <v>3306395.22</v>
      </c>
      <c r="G136" s="15">
        <f t="shared" ref="G136" si="80">2102922.68+1203472.54</f>
        <v>3306395.22</v>
      </c>
      <c r="H136" s="15">
        <v>718047.27</v>
      </c>
      <c r="I136" s="15">
        <f t="shared" si="39"/>
        <v>2588347.9500000002</v>
      </c>
      <c r="J136" s="15">
        <f t="shared" si="40"/>
        <v>21.72</v>
      </c>
      <c r="K136" s="15">
        <f t="shared" si="41"/>
        <v>21.72</v>
      </c>
      <c r="L136" s="15"/>
      <c r="M136" s="35"/>
      <c r="N136" s="35"/>
    </row>
    <row r="137" spans="1:14" s="9" customFormat="1" ht="15.6" x14ac:dyDescent="0.3">
      <c r="A137" s="30" t="s">
        <v>444</v>
      </c>
      <c r="B137" s="16">
        <v>992</v>
      </c>
      <c r="C137" s="44" t="s">
        <v>442</v>
      </c>
      <c r="D137" s="16" t="s">
        <v>154</v>
      </c>
      <c r="E137" s="44" t="s">
        <v>27</v>
      </c>
      <c r="F137" s="24">
        <f>F138+F142</f>
        <v>0</v>
      </c>
      <c r="G137" s="24">
        <f t="shared" ref="G137:H137" si="81">G138+G142</f>
        <v>4588707.8099999996</v>
      </c>
      <c r="H137" s="24">
        <f t="shared" si="81"/>
        <v>4480932.8099999996</v>
      </c>
      <c r="I137" s="24">
        <f t="shared" si="39"/>
        <v>107775</v>
      </c>
      <c r="J137" s="24" t="s">
        <v>668</v>
      </c>
      <c r="K137" s="24">
        <f t="shared" si="41"/>
        <v>97.65</v>
      </c>
      <c r="L137" s="24"/>
      <c r="M137" s="35"/>
      <c r="N137" s="35"/>
    </row>
    <row r="138" spans="1:14" s="9" customFormat="1" ht="78" x14ac:dyDescent="0.3">
      <c r="A138" s="66" t="s">
        <v>325</v>
      </c>
      <c r="B138" s="17">
        <v>992</v>
      </c>
      <c r="C138" s="44" t="s">
        <v>442</v>
      </c>
      <c r="D138" s="17" t="s">
        <v>158</v>
      </c>
      <c r="E138" s="34" t="s">
        <v>27</v>
      </c>
      <c r="F138" s="20">
        <f t="shared" ref="F138:H140" si="82">F139</f>
        <v>0</v>
      </c>
      <c r="G138" s="20">
        <f t="shared" si="82"/>
        <v>107775</v>
      </c>
      <c r="H138" s="20">
        <f t="shared" si="82"/>
        <v>0</v>
      </c>
      <c r="I138" s="20">
        <f t="shared" ref="I138:I201" si="83">$G138-$H138</f>
        <v>107775</v>
      </c>
      <c r="J138" s="20" t="s">
        <v>668</v>
      </c>
      <c r="K138" s="20">
        <f t="shared" ref="K138:K201" si="84">$H138/$G138*100</f>
        <v>0</v>
      </c>
      <c r="L138" s="20"/>
      <c r="M138" s="35"/>
      <c r="N138" s="35"/>
    </row>
    <row r="139" spans="1:14" s="9" customFormat="1" ht="46.8" x14ac:dyDescent="0.3">
      <c r="A139" s="66" t="s">
        <v>159</v>
      </c>
      <c r="B139" s="17">
        <v>992</v>
      </c>
      <c r="C139" s="44" t="s">
        <v>442</v>
      </c>
      <c r="D139" s="17" t="s">
        <v>160</v>
      </c>
      <c r="E139" s="34" t="s">
        <v>27</v>
      </c>
      <c r="F139" s="20">
        <f>F140</f>
        <v>0</v>
      </c>
      <c r="G139" s="20">
        <f t="shared" si="82"/>
        <v>107775</v>
      </c>
      <c r="H139" s="20">
        <f t="shared" si="82"/>
        <v>0</v>
      </c>
      <c r="I139" s="20">
        <f t="shared" si="83"/>
        <v>107775</v>
      </c>
      <c r="J139" s="20" t="s">
        <v>668</v>
      </c>
      <c r="K139" s="20">
        <f t="shared" si="84"/>
        <v>0</v>
      </c>
      <c r="L139" s="20"/>
      <c r="M139" s="35"/>
      <c r="N139" s="35"/>
    </row>
    <row r="140" spans="1:14" s="9" customFormat="1" ht="62.4" x14ac:dyDescent="0.3">
      <c r="A140" s="30" t="s">
        <v>445</v>
      </c>
      <c r="B140" s="17">
        <v>992</v>
      </c>
      <c r="C140" s="44" t="s">
        <v>442</v>
      </c>
      <c r="D140" s="17" t="s">
        <v>443</v>
      </c>
      <c r="E140" s="34" t="s">
        <v>27</v>
      </c>
      <c r="F140" s="20">
        <f t="shared" si="82"/>
        <v>0</v>
      </c>
      <c r="G140" s="20">
        <f t="shared" si="82"/>
        <v>107775</v>
      </c>
      <c r="H140" s="20">
        <f t="shared" si="82"/>
        <v>0</v>
      </c>
      <c r="I140" s="20">
        <f t="shared" si="83"/>
        <v>107775</v>
      </c>
      <c r="J140" s="20" t="s">
        <v>668</v>
      </c>
      <c r="K140" s="20">
        <f t="shared" si="84"/>
        <v>0</v>
      </c>
      <c r="L140" s="20"/>
      <c r="M140" s="35"/>
      <c r="N140" s="35"/>
    </row>
    <row r="141" spans="1:14" s="9" customFormat="1" ht="31.2" x14ac:dyDescent="0.3">
      <c r="A141" s="33" t="s">
        <v>125</v>
      </c>
      <c r="B141" s="17">
        <v>992</v>
      </c>
      <c r="C141" s="44" t="s">
        <v>442</v>
      </c>
      <c r="D141" s="17" t="s">
        <v>443</v>
      </c>
      <c r="E141" s="34" t="s">
        <v>126</v>
      </c>
      <c r="F141" s="25">
        <f>0</f>
        <v>0</v>
      </c>
      <c r="G141" s="25">
        <f t="shared" ref="G141" si="85">0+107775</f>
        <v>107775</v>
      </c>
      <c r="H141" s="25">
        <v>0</v>
      </c>
      <c r="I141" s="25">
        <f t="shared" si="83"/>
        <v>107775</v>
      </c>
      <c r="J141" s="25" t="s">
        <v>668</v>
      </c>
      <c r="K141" s="25">
        <f t="shared" si="84"/>
        <v>0</v>
      </c>
      <c r="L141" s="25"/>
      <c r="M141" s="35"/>
      <c r="N141" s="35"/>
    </row>
    <row r="142" spans="1:14" s="9" customFormat="1" ht="46.8" x14ac:dyDescent="0.3">
      <c r="A142" s="50" t="s">
        <v>320</v>
      </c>
      <c r="B142" s="17">
        <v>992</v>
      </c>
      <c r="C142" s="34" t="s">
        <v>442</v>
      </c>
      <c r="D142" s="17" t="s">
        <v>155</v>
      </c>
      <c r="E142" s="34" t="s">
        <v>27</v>
      </c>
      <c r="F142" s="20">
        <f>F143</f>
        <v>0</v>
      </c>
      <c r="G142" s="20">
        <f t="shared" ref="G142:H145" si="86">G143</f>
        <v>4480932.8099999996</v>
      </c>
      <c r="H142" s="20">
        <f t="shared" si="86"/>
        <v>4480932.8099999996</v>
      </c>
      <c r="I142" s="20">
        <f t="shared" si="83"/>
        <v>0</v>
      </c>
      <c r="J142" s="20" t="s">
        <v>668</v>
      </c>
      <c r="K142" s="20">
        <f t="shared" si="84"/>
        <v>100</v>
      </c>
      <c r="L142" s="20"/>
      <c r="M142" s="35"/>
      <c r="N142" s="35"/>
    </row>
    <row r="143" spans="1:14" s="7" customFormat="1" ht="31.2" x14ac:dyDescent="0.25">
      <c r="A143" s="30" t="s">
        <v>318</v>
      </c>
      <c r="B143" s="17">
        <v>992</v>
      </c>
      <c r="C143" s="34" t="s">
        <v>442</v>
      </c>
      <c r="D143" s="17" t="s">
        <v>256</v>
      </c>
      <c r="E143" s="34" t="s">
        <v>27</v>
      </c>
      <c r="F143" s="20">
        <f>F144</f>
        <v>0</v>
      </c>
      <c r="G143" s="20">
        <f t="shared" si="86"/>
        <v>4480932.8099999996</v>
      </c>
      <c r="H143" s="20">
        <f t="shared" si="86"/>
        <v>4480932.8099999996</v>
      </c>
      <c r="I143" s="20">
        <f t="shared" si="83"/>
        <v>0</v>
      </c>
      <c r="J143" s="20" t="s">
        <v>668</v>
      </c>
      <c r="K143" s="20">
        <f t="shared" si="84"/>
        <v>100</v>
      </c>
      <c r="L143" s="20"/>
      <c r="M143" s="35"/>
      <c r="N143" s="35"/>
    </row>
    <row r="144" spans="1:14" s="7" customFormat="1" ht="15.6" x14ac:dyDescent="0.25">
      <c r="A144" s="30" t="s">
        <v>319</v>
      </c>
      <c r="B144" s="17">
        <v>992</v>
      </c>
      <c r="C144" s="34" t="s">
        <v>442</v>
      </c>
      <c r="D144" s="17" t="s">
        <v>253</v>
      </c>
      <c r="E144" s="34" t="s">
        <v>27</v>
      </c>
      <c r="F144" s="20">
        <f>F145</f>
        <v>0</v>
      </c>
      <c r="G144" s="20">
        <f t="shared" si="86"/>
        <v>4480932.8099999996</v>
      </c>
      <c r="H144" s="20">
        <f t="shared" si="86"/>
        <v>4480932.8099999996</v>
      </c>
      <c r="I144" s="20">
        <f t="shared" si="83"/>
        <v>0</v>
      </c>
      <c r="J144" s="20" t="s">
        <v>668</v>
      </c>
      <c r="K144" s="20">
        <f t="shared" si="84"/>
        <v>100</v>
      </c>
      <c r="L144" s="20"/>
      <c r="M144" s="35"/>
      <c r="N144" s="35"/>
    </row>
    <row r="145" spans="1:14" s="7" customFormat="1" ht="31.2" x14ac:dyDescent="0.25">
      <c r="A145" s="30" t="s">
        <v>563</v>
      </c>
      <c r="B145" s="17">
        <v>992</v>
      </c>
      <c r="C145" s="34" t="s">
        <v>442</v>
      </c>
      <c r="D145" s="17" t="s">
        <v>208</v>
      </c>
      <c r="E145" s="34" t="s">
        <v>27</v>
      </c>
      <c r="F145" s="22">
        <f>F146</f>
        <v>0</v>
      </c>
      <c r="G145" s="22">
        <f t="shared" si="86"/>
        <v>4480932.8099999996</v>
      </c>
      <c r="H145" s="22">
        <f t="shared" si="86"/>
        <v>4480932.8099999996</v>
      </c>
      <c r="I145" s="22">
        <f t="shared" si="83"/>
        <v>0</v>
      </c>
      <c r="J145" s="22" t="s">
        <v>668</v>
      </c>
      <c r="K145" s="22">
        <f t="shared" si="84"/>
        <v>100</v>
      </c>
      <c r="L145" s="22"/>
      <c r="M145" s="35"/>
      <c r="N145" s="35"/>
    </row>
    <row r="146" spans="1:14" s="7" customFormat="1" ht="31.2" x14ac:dyDescent="0.25">
      <c r="A146" s="30" t="s">
        <v>125</v>
      </c>
      <c r="B146" s="17">
        <v>992</v>
      </c>
      <c r="C146" s="34" t="s">
        <v>442</v>
      </c>
      <c r="D146" s="17" t="s">
        <v>208</v>
      </c>
      <c r="E146" s="17">
        <v>240</v>
      </c>
      <c r="F146" s="22">
        <v>0</v>
      </c>
      <c r="G146" s="22">
        <f t="shared" ref="G146:H146" si="87">4480932.81</f>
        <v>4480932.8099999996</v>
      </c>
      <c r="H146" s="22">
        <f t="shared" si="87"/>
        <v>4480932.8099999996</v>
      </c>
      <c r="I146" s="22">
        <f t="shared" si="83"/>
        <v>0</v>
      </c>
      <c r="J146" s="22" t="s">
        <v>668</v>
      </c>
      <c r="K146" s="22">
        <f t="shared" si="84"/>
        <v>100</v>
      </c>
      <c r="L146" s="22"/>
      <c r="M146" s="35"/>
      <c r="N146" s="35"/>
    </row>
    <row r="147" spans="1:14" s="9" customFormat="1" ht="15.6" x14ac:dyDescent="0.3">
      <c r="A147" s="30" t="s">
        <v>68</v>
      </c>
      <c r="B147" s="16">
        <v>992</v>
      </c>
      <c r="C147" s="44" t="s">
        <v>69</v>
      </c>
      <c r="D147" s="16" t="s">
        <v>154</v>
      </c>
      <c r="E147" s="44" t="s">
        <v>27</v>
      </c>
      <c r="F147" s="24">
        <f>F148+F161</f>
        <v>28713387.079999998</v>
      </c>
      <c r="G147" s="24">
        <f t="shared" ref="G147:H147" si="88">G148+G161</f>
        <v>28713387.079999998</v>
      </c>
      <c r="H147" s="24">
        <f t="shared" si="88"/>
        <v>2185075</v>
      </c>
      <c r="I147" s="24">
        <f t="shared" si="83"/>
        <v>26528312.079999998</v>
      </c>
      <c r="J147" s="24">
        <f t="shared" ref="J147:J201" si="89">$H147/$F147*100</f>
        <v>7.61</v>
      </c>
      <c r="K147" s="24">
        <f t="shared" si="84"/>
        <v>7.61</v>
      </c>
      <c r="L147" s="24"/>
      <c r="M147" s="35"/>
      <c r="N147" s="35"/>
    </row>
    <row r="148" spans="1:14" s="9" customFormat="1" ht="46.8" x14ac:dyDescent="0.3">
      <c r="A148" s="57" t="s">
        <v>326</v>
      </c>
      <c r="B148" s="16">
        <v>992</v>
      </c>
      <c r="C148" s="44" t="s">
        <v>69</v>
      </c>
      <c r="D148" s="16" t="s">
        <v>166</v>
      </c>
      <c r="E148" s="44" t="s">
        <v>27</v>
      </c>
      <c r="F148" s="24">
        <f>F149</f>
        <v>28710000</v>
      </c>
      <c r="G148" s="24">
        <f t="shared" ref="G148:H149" si="90">G149</f>
        <v>28710000</v>
      </c>
      <c r="H148" s="24">
        <f t="shared" si="90"/>
        <v>2185075</v>
      </c>
      <c r="I148" s="24">
        <f t="shared" si="83"/>
        <v>26524925</v>
      </c>
      <c r="J148" s="24">
        <f t="shared" si="89"/>
        <v>7.61</v>
      </c>
      <c r="K148" s="24">
        <f t="shared" si="84"/>
        <v>7.61</v>
      </c>
      <c r="L148" s="24"/>
      <c r="M148" s="35"/>
      <c r="N148" s="35"/>
    </row>
    <row r="149" spans="1:14" s="9" customFormat="1" ht="46.8" x14ac:dyDescent="0.3">
      <c r="A149" s="57" t="s">
        <v>327</v>
      </c>
      <c r="B149" s="17">
        <v>992</v>
      </c>
      <c r="C149" s="34" t="s">
        <v>69</v>
      </c>
      <c r="D149" s="17" t="s">
        <v>167</v>
      </c>
      <c r="E149" s="34" t="s">
        <v>27</v>
      </c>
      <c r="F149" s="20">
        <f>F150</f>
        <v>28710000</v>
      </c>
      <c r="G149" s="20">
        <f t="shared" si="90"/>
        <v>28710000</v>
      </c>
      <c r="H149" s="20">
        <f t="shared" si="90"/>
        <v>2185075</v>
      </c>
      <c r="I149" s="20">
        <f t="shared" si="83"/>
        <v>26524925</v>
      </c>
      <c r="J149" s="20">
        <f t="shared" si="89"/>
        <v>7.61</v>
      </c>
      <c r="K149" s="20">
        <f t="shared" si="84"/>
        <v>7.61</v>
      </c>
      <c r="L149" s="20"/>
      <c r="M149" s="35"/>
      <c r="N149" s="35"/>
    </row>
    <row r="150" spans="1:14" s="9" customFormat="1" ht="46.8" x14ac:dyDescent="0.3">
      <c r="A150" s="57" t="s">
        <v>328</v>
      </c>
      <c r="B150" s="17">
        <v>992</v>
      </c>
      <c r="C150" s="34" t="s">
        <v>69</v>
      </c>
      <c r="D150" s="17" t="s">
        <v>272</v>
      </c>
      <c r="E150" s="34" t="s">
        <v>27</v>
      </c>
      <c r="F150" s="20">
        <f>F151+F153+F155+F157+F159</f>
        <v>28710000</v>
      </c>
      <c r="G150" s="20">
        <f t="shared" ref="G150:H150" si="91">G151+G153+G155+G157+G159</f>
        <v>28710000</v>
      </c>
      <c r="H150" s="20">
        <f t="shared" si="91"/>
        <v>2185075</v>
      </c>
      <c r="I150" s="20">
        <f t="shared" si="83"/>
        <v>26524925</v>
      </c>
      <c r="J150" s="20">
        <f t="shared" si="89"/>
        <v>7.61</v>
      </c>
      <c r="K150" s="20">
        <f t="shared" si="84"/>
        <v>7.61</v>
      </c>
      <c r="L150" s="20"/>
      <c r="M150" s="35"/>
      <c r="N150" s="35"/>
    </row>
    <row r="151" spans="1:14" s="9" customFormat="1" ht="62.4" x14ac:dyDescent="0.3">
      <c r="A151" s="50" t="s">
        <v>236</v>
      </c>
      <c r="B151" s="17">
        <v>992</v>
      </c>
      <c r="C151" s="34" t="s">
        <v>69</v>
      </c>
      <c r="D151" s="17" t="s">
        <v>237</v>
      </c>
      <c r="E151" s="34" t="s">
        <v>27</v>
      </c>
      <c r="F151" s="24">
        <f t="shared" ref="F151:H151" si="92">F152</f>
        <v>9552000</v>
      </c>
      <c r="G151" s="24">
        <f t="shared" si="92"/>
        <v>9552000</v>
      </c>
      <c r="H151" s="24">
        <f t="shared" si="92"/>
        <v>1748060</v>
      </c>
      <c r="I151" s="24">
        <f t="shared" si="83"/>
        <v>7803940</v>
      </c>
      <c r="J151" s="24">
        <f t="shared" si="89"/>
        <v>18.3</v>
      </c>
      <c r="K151" s="24">
        <f t="shared" si="84"/>
        <v>18.3</v>
      </c>
      <c r="L151" s="24"/>
      <c r="M151" s="35"/>
      <c r="N151" s="35"/>
    </row>
    <row r="152" spans="1:14" s="9" customFormat="1" ht="31.2" x14ac:dyDescent="0.3">
      <c r="A152" s="30" t="s">
        <v>125</v>
      </c>
      <c r="B152" s="17">
        <v>992</v>
      </c>
      <c r="C152" s="34" t="s">
        <v>69</v>
      </c>
      <c r="D152" s="17" t="s">
        <v>237</v>
      </c>
      <c r="E152" s="34" t="s">
        <v>126</v>
      </c>
      <c r="F152" s="24">
        <v>9552000</v>
      </c>
      <c r="G152" s="24">
        <v>9552000</v>
      </c>
      <c r="H152" s="24">
        <v>1748060</v>
      </c>
      <c r="I152" s="24">
        <f t="shared" si="83"/>
        <v>7803940</v>
      </c>
      <c r="J152" s="24">
        <f t="shared" si="89"/>
        <v>18.3</v>
      </c>
      <c r="K152" s="24">
        <f t="shared" si="84"/>
        <v>18.3</v>
      </c>
      <c r="L152" s="24"/>
      <c r="M152" s="35"/>
      <c r="N152" s="35"/>
    </row>
    <row r="153" spans="1:14" s="9" customFormat="1" ht="62.4" x14ac:dyDescent="0.3">
      <c r="A153" s="50" t="s">
        <v>238</v>
      </c>
      <c r="B153" s="17">
        <v>992</v>
      </c>
      <c r="C153" s="34" t="s">
        <v>69</v>
      </c>
      <c r="D153" s="17" t="s">
        <v>237</v>
      </c>
      <c r="E153" s="34" t="s">
        <v>27</v>
      </c>
      <c r="F153" s="24">
        <f>F154</f>
        <v>2388000</v>
      </c>
      <c r="G153" s="24">
        <f t="shared" ref="G153:H153" si="93">G154</f>
        <v>2388000</v>
      </c>
      <c r="H153" s="24">
        <f t="shared" si="93"/>
        <v>437015</v>
      </c>
      <c r="I153" s="24">
        <f t="shared" si="83"/>
        <v>1950985</v>
      </c>
      <c r="J153" s="24">
        <f t="shared" si="89"/>
        <v>18.3</v>
      </c>
      <c r="K153" s="24">
        <f t="shared" si="84"/>
        <v>18.3</v>
      </c>
      <c r="L153" s="24"/>
      <c r="M153" s="35"/>
      <c r="N153" s="35"/>
    </row>
    <row r="154" spans="1:14" s="9" customFormat="1" ht="31.2" x14ac:dyDescent="0.3">
      <c r="A154" s="30" t="s">
        <v>125</v>
      </c>
      <c r="B154" s="17">
        <v>992</v>
      </c>
      <c r="C154" s="34" t="s">
        <v>69</v>
      </c>
      <c r="D154" s="17" t="s">
        <v>237</v>
      </c>
      <c r="E154" s="34" t="s">
        <v>126</v>
      </c>
      <c r="F154" s="24">
        <v>2388000</v>
      </c>
      <c r="G154" s="24">
        <v>2388000</v>
      </c>
      <c r="H154" s="24">
        <v>437015</v>
      </c>
      <c r="I154" s="24">
        <f t="shared" si="83"/>
        <v>1950985</v>
      </c>
      <c r="J154" s="24">
        <f t="shared" si="89"/>
        <v>18.3</v>
      </c>
      <c r="K154" s="24">
        <f t="shared" si="84"/>
        <v>18.3</v>
      </c>
      <c r="L154" s="24"/>
      <c r="M154" s="35"/>
      <c r="N154" s="35"/>
    </row>
    <row r="155" spans="1:14" s="9" customFormat="1" ht="46.8" x14ac:dyDescent="0.3">
      <c r="A155" s="50" t="s">
        <v>498</v>
      </c>
      <c r="B155" s="17">
        <v>992</v>
      </c>
      <c r="C155" s="34" t="s">
        <v>69</v>
      </c>
      <c r="D155" s="17" t="s">
        <v>497</v>
      </c>
      <c r="E155" s="34" t="s">
        <v>27</v>
      </c>
      <c r="F155" s="24">
        <f>F156</f>
        <v>1020000</v>
      </c>
      <c r="G155" s="24">
        <f t="shared" ref="G155:H155" si="94">G156</f>
        <v>1020000</v>
      </c>
      <c r="H155" s="24">
        <f t="shared" si="94"/>
        <v>0</v>
      </c>
      <c r="I155" s="24">
        <f t="shared" si="83"/>
        <v>1020000</v>
      </c>
      <c r="J155" s="24">
        <f t="shared" si="89"/>
        <v>0</v>
      </c>
      <c r="K155" s="24">
        <f t="shared" si="84"/>
        <v>0</v>
      </c>
      <c r="L155" s="24"/>
      <c r="M155" s="35"/>
      <c r="N155" s="35"/>
    </row>
    <row r="156" spans="1:14" s="9" customFormat="1" ht="31.2" x14ac:dyDescent="0.3">
      <c r="A156" s="30" t="s">
        <v>125</v>
      </c>
      <c r="B156" s="17">
        <v>992</v>
      </c>
      <c r="C156" s="34" t="s">
        <v>69</v>
      </c>
      <c r="D156" s="17" t="s">
        <v>497</v>
      </c>
      <c r="E156" s="34" t="s">
        <v>126</v>
      </c>
      <c r="F156" s="24">
        <v>1020000</v>
      </c>
      <c r="G156" s="24">
        <v>1020000</v>
      </c>
      <c r="H156" s="24">
        <v>0</v>
      </c>
      <c r="I156" s="24">
        <f t="shared" si="83"/>
        <v>1020000</v>
      </c>
      <c r="J156" s="24">
        <f t="shared" si="89"/>
        <v>0</v>
      </c>
      <c r="K156" s="24">
        <f t="shared" si="84"/>
        <v>0</v>
      </c>
      <c r="L156" s="24"/>
      <c r="M156" s="35"/>
      <c r="N156" s="35"/>
    </row>
    <row r="157" spans="1:14" s="9" customFormat="1" ht="66" customHeight="1" x14ac:dyDescent="0.3">
      <c r="A157" s="50" t="s">
        <v>477</v>
      </c>
      <c r="B157" s="17">
        <v>992</v>
      </c>
      <c r="C157" s="34" t="s">
        <v>69</v>
      </c>
      <c r="D157" s="17" t="s">
        <v>478</v>
      </c>
      <c r="E157" s="34" t="s">
        <v>27</v>
      </c>
      <c r="F157" s="24">
        <f t="shared" ref="F157:H157" si="95">F158</f>
        <v>12600000</v>
      </c>
      <c r="G157" s="24">
        <f t="shared" si="95"/>
        <v>12600000</v>
      </c>
      <c r="H157" s="24">
        <f t="shared" si="95"/>
        <v>0</v>
      </c>
      <c r="I157" s="24">
        <f t="shared" si="83"/>
        <v>12600000</v>
      </c>
      <c r="J157" s="24">
        <f t="shared" si="89"/>
        <v>0</v>
      </c>
      <c r="K157" s="24">
        <f t="shared" si="84"/>
        <v>0</v>
      </c>
      <c r="L157" s="24"/>
      <c r="M157" s="35"/>
      <c r="N157" s="35"/>
    </row>
    <row r="158" spans="1:14" s="9" customFormat="1" ht="31.2" x14ac:dyDescent="0.3">
      <c r="A158" s="30" t="s">
        <v>125</v>
      </c>
      <c r="B158" s="17">
        <v>992</v>
      </c>
      <c r="C158" s="34" t="s">
        <v>69</v>
      </c>
      <c r="D158" s="17" t="s">
        <v>478</v>
      </c>
      <c r="E158" s="34" t="s">
        <v>126</v>
      </c>
      <c r="F158" s="24">
        <v>12600000</v>
      </c>
      <c r="G158" s="24">
        <v>12600000</v>
      </c>
      <c r="H158" s="24">
        <v>0</v>
      </c>
      <c r="I158" s="24">
        <f t="shared" si="83"/>
        <v>12600000</v>
      </c>
      <c r="J158" s="24">
        <f t="shared" si="89"/>
        <v>0</v>
      </c>
      <c r="K158" s="24">
        <f t="shared" si="84"/>
        <v>0</v>
      </c>
      <c r="L158" s="24"/>
      <c r="M158" s="35"/>
      <c r="N158" s="35"/>
    </row>
    <row r="159" spans="1:14" s="9" customFormat="1" ht="46.8" x14ac:dyDescent="0.3">
      <c r="A159" s="50" t="s">
        <v>479</v>
      </c>
      <c r="B159" s="17">
        <v>992</v>
      </c>
      <c r="C159" s="34" t="s">
        <v>69</v>
      </c>
      <c r="D159" s="17" t="s">
        <v>478</v>
      </c>
      <c r="E159" s="34" t="s">
        <v>27</v>
      </c>
      <c r="F159" s="24">
        <f>F160</f>
        <v>3150000</v>
      </c>
      <c r="G159" s="24">
        <f t="shared" ref="G159:H159" si="96">G160</f>
        <v>3150000</v>
      </c>
      <c r="H159" s="24">
        <f t="shared" si="96"/>
        <v>0</v>
      </c>
      <c r="I159" s="24">
        <f t="shared" si="83"/>
        <v>3150000</v>
      </c>
      <c r="J159" s="24">
        <f t="shared" si="89"/>
        <v>0</v>
      </c>
      <c r="K159" s="24">
        <f t="shared" si="84"/>
        <v>0</v>
      </c>
      <c r="L159" s="24"/>
      <c r="M159" s="35"/>
      <c r="N159" s="35"/>
    </row>
    <row r="160" spans="1:14" s="9" customFormat="1" ht="31.2" x14ac:dyDescent="0.3">
      <c r="A160" s="30" t="s">
        <v>125</v>
      </c>
      <c r="B160" s="17">
        <v>992</v>
      </c>
      <c r="C160" s="34" t="s">
        <v>69</v>
      </c>
      <c r="D160" s="17" t="s">
        <v>478</v>
      </c>
      <c r="E160" s="34" t="s">
        <v>126</v>
      </c>
      <c r="F160" s="24">
        <v>3150000</v>
      </c>
      <c r="G160" s="24">
        <v>3150000</v>
      </c>
      <c r="H160" s="24">
        <v>0</v>
      </c>
      <c r="I160" s="24">
        <f t="shared" si="83"/>
        <v>3150000</v>
      </c>
      <c r="J160" s="24">
        <f t="shared" si="89"/>
        <v>0</v>
      </c>
      <c r="K160" s="24">
        <f t="shared" si="84"/>
        <v>0</v>
      </c>
      <c r="L160" s="24"/>
      <c r="M160" s="35"/>
      <c r="N160" s="35"/>
    </row>
    <row r="161" spans="1:14" s="9" customFormat="1" ht="62.4" x14ac:dyDescent="0.3">
      <c r="A161" s="62" t="s">
        <v>257</v>
      </c>
      <c r="B161" s="17">
        <v>992</v>
      </c>
      <c r="C161" s="34" t="s">
        <v>69</v>
      </c>
      <c r="D161" s="36" t="s">
        <v>192</v>
      </c>
      <c r="E161" s="34" t="s">
        <v>27</v>
      </c>
      <c r="F161" s="24">
        <f>F162</f>
        <v>3387.08</v>
      </c>
      <c r="G161" s="24">
        <f t="shared" ref="G161:H161" si="97">G162</f>
        <v>3387.08</v>
      </c>
      <c r="H161" s="24">
        <f t="shared" si="97"/>
        <v>0</v>
      </c>
      <c r="I161" s="24">
        <f t="shared" si="83"/>
        <v>3387.08</v>
      </c>
      <c r="J161" s="24">
        <f t="shared" si="89"/>
        <v>0</v>
      </c>
      <c r="K161" s="24">
        <f t="shared" si="84"/>
        <v>0</v>
      </c>
      <c r="L161" s="24"/>
      <c r="M161" s="35"/>
      <c r="N161" s="35"/>
    </row>
    <row r="162" spans="1:14" s="9" customFormat="1" ht="31.2" x14ac:dyDescent="0.3">
      <c r="A162" s="33" t="s">
        <v>125</v>
      </c>
      <c r="B162" s="17">
        <v>992</v>
      </c>
      <c r="C162" s="34" t="s">
        <v>69</v>
      </c>
      <c r="D162" s="36" t="s">
        <v>192</v>
      </c>
      <c r="E162" s="34" t="s">
        <v>126</v>
      </c>
      <c r="F162" s="15">
        <v>3387.08</v>
      </c>
      <c r="G162" s="15">
        <v>3387.08</v>
      </c>
      <c r="H162" s="15">
        <v>0</v>
      </c>
      <c r="I162" s="15">
        <f t="shared" si="83"/>
        <v>3387.08</v>
      </c>
      <c r="J162" s="15">
        <f t="shared" si="89"/>
        <v>0</v>
      </c>
      <c r="K162" s="15">
        <f t="shared" si="84"/>
        <v>0</v>
      </c>
      <c r="L162" s="15"/>
      <c r="M162" s="35"/>
      <c r="N162" s="35"/>
    </row>
    <row r="163" spans="1:14" s="9" customFormat="1" ht="15.6" x14ac:dyDescent="0.3">
      <c r="A163" s="30" t="s">
        <v>98</v>
      </c>
      <c r="B163" s="17">
        <v>992</v>
      </c>
      <c r="C163" s="34" t="s">
        <v>99</v>
      </c>
      <c r="D163" s="34" t="s">
        <v>154</v>
      </c>
      <c r="E163" s="34" t="s">
        <v>27</v>
      </c>
      <c r="F163" s="20">
        <f>F164+F176</f>
        <v>156666000</v>
      </c>
      <c r="G163" s="20">
        <f t="shared" ref="G163:H163" si="98">G164+G176</f>
        <v>169219038.06</v>
      </c>
      <c r="H163" s="20">
        <f t="shared" si="98"/>
        <v>53338267.810000002</v>
      </c>
      <c r="I163" s="20">
        <f t="shared" si="83"/>
        <v>115880770.25</v>
      </c>
      <c r="J163" s="20">
        <f t="shared" si="89"/>
        <v>34.049999999999997</v>
      </c>
      <c r="K163" s="20">
        <f t="shared" si="84"/>
        <v>31.52</v>
      </c>
      <c r="L163" s="20"/>
      <c r="M163" s="35"/>
      <c r="N163" s="35"/>
    </row>
    <row r="164" spans="1:14" s="9" customFormat="1" ht="46.8" x14ac:dyDescent="0.3">
      <c r="A164" s="57" t="s">
        <v>326</v>
      </c>
      <c r="B164" s="17">
        <v>992</v>
      </c>
      <c r="C164" s="34" t="s">
        <v>99</v>
      </c>
      <c r="D164" s="34" t="s">
        <v>166</v>
      </c>
      <c r="E164" s="34" t="s">
        <v>27</v>
      </c>
      <c r="F164" s="20">
        <f t="shared" ref="F164:H164" si="99">F165</f>
        <v>156666000</v>
      </c>
      <c r="G164" s="20">
        <f t="shared" si="99"/>
        <v>156666000</v>
      </c>
      <c r="H164" s="20">
        <f t="shared" si="99"/>
        <v>40785229.75</v>
      </c>
      <c r="I164" s="20">
        <f t="shared" si="83"/>
        <v>115880770.25</v>
      </c>
      <c r="J164" s="20">
        <f t="shared" si="89"/>
        <v>26.03</v>
      </c>
      <c r="K164" s="20">
        <f t="shared" si="84"/>
        <v>26.03</v>
      </c>
      <c r="L164" s="20"/>
      <c r="M164" s="35"/>
      <c r="N164" s="35"/>
    </row>
    <row r="165" spans="1:14" s="9" customFormat="1" ht="46.8" x14ac:dyDescent="0.3">
      <c r="A165" s="50" t="s">
        <v>329</v>
      </c>
      <c r="B165" s="17">
        <v>992</v>
      </c>
      <c r="C165" s="34" t="s">
        <v>99</v>
      </c>
      <c r="D165" s="34" t="s">
        <v>168</v>
      </c>
      <c r="E165" s="34" t="s">
        <v>27</v>
      </c>
      <c r="F165" s="20">
        <f>F166+F171</f>
        <v>156666000</v>
      </c>
      <c r="G165" s="20">
        <f t="shared" ref="G165:H165" si="100">G166+G171</f>
        <v>156666000</v>
      </c>
      <c r="H165" s="20">
        <f t="shared" si="100"/>
        <v>40785229.75</v>
      </c>
      <c r="I165" s="20">
        <f t="shared" si="83"/>
        <v>115880770.25</v>
      </c>
      <c r="J165" s="20">
        <f t="shared" si="89"/>
        <v>26.03</v>
      </c>
      <c r="K165" s="20">
        <f t="shared" si="84"/>
        <v>26.03</v>
      </c>
      <c r="L165" s="20"/>
      <c r="M165" s="35"/>
      <c r="N165" s="35"/>
    </row>
    <row r="166" spans="1:14" s="9" customFormat="1" ht="31.2" x14ac:dyDescent="0.3">
      <c r="A166" s="43" t="s">
        <v>258</v>
      </c>
      <c r="B166" s="17">
        <v>992</v>
      </c>
      <c r="C166" s="34" t="s">
        <v>99</v>
      </c>
      <c r="D166" s="37" t="s">
        <v>651</v>
      </c>
      <c r="E166" s="34" t="s">
        <v>27</v>
      </c>
      <c r="F166" s="20">
        <f>F167+F169</f>
        <v>120000000</v>
      </c>
      <c r="G166" s="20">
        <f t="shared" ref="G166:H166" si="101">G167+G169</f>
        <v>120000000</v>
      </c>
      <c r="H166" s="20">
        <f t="shared" si="101"/>
        <v>34598344.219999999</v>
      </c>
      <c r="I166" s="20">
        <f t="shared" si="83"/>
        <v>85401655.780000001</v>
      </c>
      <c r="J166" s="20">
        <f t="shared" si="89"/>
        <v>28.83</v>
      </c>
      <c r="K166" s="20">
        <f t="shared" si="84"/>
        <v>28.83</v>
      </c>
      <c r="L166" s="20"/>
      <c r="M166" s="35"/>
      <c r="N166" s="35"/>
    </row>
    <row r="167" spans="1:14" s="9" customFormat="1" ht="46.8" x14ac:dyDescent="0.3">
      <c r="A167" s="43" t="s">
        <v>652</v>
      </c>
      <c r="B167" s="17">
        <v>992</v>
      </c>
      <c r="C167" s="34" t="s">
        <v>99</v>
      </c>
      <c r="D167" s="37" t="s">
        <v>650</v>
      </c>
      <c r="E167" s="34" t="s">
        <v>27</v>
      </c>
      <c r="F167" s="24">
        <f>F168</f>
        <v>108000000</v>
      </c>
      <c r="G167" s="24">
        <f t="shared" ref="G167:H167" si="102">G168</f>
        <v>108000000</v>
      </c>
      <c r="H167" s="24">
        <f t="shared" si="102"/>
        <v>31138509.800000001</v>
      </c>
      <c r="I167" s="24">
        <f t="shared" si="83"/>
        <v>76861490.200000003</v>
      </c>
      <c r="J167" s="24">
        <f t="shared" si="89"/>
        <v>28.83</v>
      </c>
      <c r="K167" s="24">
        <f t="shared" si="84"/>
        <v>28.83</v>
      </c>
      <c r="L167" s="24"/>
      <c r="M167" s="35"/>
      <c r="N167" s="35"/>
    </row>
    <row r="168" spans="1:14" s="9" customFormat="1" ht="31.2" x14ac:dyDescent="0.3">
      <c r="A168" s="33" t="s">
        <v>125</v>
      </c>
      <c r="B168" s="17">
        <v>992</v>
      </c>
      <c r="C168" s="34" t="s">
        <v>99</v>
      </c>
      <c r="D168" s="37" t="s">
        <v>650</v>
      </c>
      <c r="E168" s="34" t="s">
        <v>126</v>
      </c>
      <c r="F168" s="24">
        <v>108000000</v>
      </c>
      <c r="G168" s="24">
        <v>108000000</v>
      </c>
      <c r="H168" s="24">
        <v>31138509.800000001</v>
      </c>
      <c r="I168" s="24">
        <f t="shared" si="83"/>
        <v>76861490.200000003</v>
      </c>
      <c r="J168" s="24">
        <f t="shared" si="89"/>
        <v>28.83</v>
      </c>
      <c r="K168" s="24">
        <f t="shared" si="84"/>
        <v>28.83</v>
      </c>
      <c r="L168" s="24"/>
      <c r="M168" s="35"/>
      <c r="N168" s="35"/>
    </row>
    <row r="169" spans="1:14" s="9" customFormat="1" ht="62.4" x14ac:dyDescent="0.3">
      <c r="A169" s="61" t="s">
        <v>653</v>
      </c>
      <c r="B169" s="17">
        <v>992</v>
      </c>
      <c r="C169" s="34" t="s">
        <v>99</v>
      </c>
      <c r="D169" s="37" t="s">
        <v>650</v>
      </c>
      <c r="E169" s="34" t="s">
        <v>27</v>
      </c>
      <c r="F169" s="24">
        <f>F170</f>
        <v>12000000</v>
      </c>
      <c r="G169" s="24">
        <f t="shared" ref="G169:H169" si="103">G170</f>
        <v>12000000</v>
      </c>
      <c r="H169" s="24">
        <f t="shared" si="103"/>
        <v>3459834.42</v>
      </c>
      <c r="I169" s="24">
        <f t="shared" si="83"/>
        <v>8540165.5800000001</v>
      </c>
      <c r="J169" s="24">
        <f t="shared" si="89"/>
        <v>28.83</v>
      </c>
      <c r="K169" s="24">
        <f t="shared" si="84"/>
        <v>28.83</v>
      </c>
      <c r="L169" s="24"/>
      <c r="M169" s="35"/>
      <c r="N169" s="35"/>
    </row>
    <row r="170" spans="1:14" s="9" customFormat="1" ht="31.2" x14ac:dyDescent="0.3">
      <c r="A170" s="33" t="s">
        <v>125</v>
      </c>
      <c r="B170" s="17">
        <v>992</v>
      </c>
      <c r="C170" s="34" t="s">
        <v>99</v>
      </c>
      <c r="D170" s="37" t="s">
        <v>650</v>
      </c>
      <c r="E170" s="34" t="s">
        <v>126</v>
      </c>
      <c r="F170" s="24">
        <v>12000000</v>
      </c>
      <c r="G170" s="24">
        <v>12000000</v>
      </c>
      <c r="H170" s="24">
        <v>3459834.42</v>
      </c>
      <c r="I170" s="24">
        <f t="shared" si="83"/>
        <v>8540165.5800000001</v>
      </c>
      <c r="J170" s="24">
        <f t="shared" si="89"/>
        <v>28.83</v>
      </c>
      <c r="K170" s="24">
        <f t="shared" si="84"/>
        <v>28.83</v>
      </c>
      <c r="L170" s="24"/>
      <c r="M170" s="35"/>
      <c r="N170" s="35"/>
    </row>
    <row r="171" spans="1:14" s="9" customFormat="1" ht="31.2" x14ac:dyDescent="0.3">
      <c r="A171" s="57" t="s">
        <v>330</v>
      </c>
      <c r="B171" s="17">
        <v>992</v>
      </c>
      <c r="C171" s="34" t="s">
        <v>99</v>
      </c>
      <c r="D171" s="36" t="s">
        <v>185</v>
      </c>
      <c r="E171" s="34" t="s">
        <v>27</v>
      </c>
      <c r="F171" s="20">
        <f>F172+F174</f>
        <v>36666000</v>
      </c>
      <c r="G171" s="20">
        <f t="shared" ref="G171:H171" si="104">G172+G174</f>
        <v>36666000</v>
      </c>
      <c r="H171" s="20">
        <f t="shared" si="104"/>
        <v>6186885.5300000003</v>
      </c>
      <c r="I171" s="20">
        <f t="shared" si="83"/>
        <v>30479114.469999999</v>
      </c>
      <c r="J171" s="20">
        <f t="shared" si="89"/>
        <v>16.87</v>
      </c>
      <c r="K171" s="20">
        <f t="shared" si="84"/>
        <v>16.87</v>
      </c>
      <c r="L171" s="20"/>
      <c r="M171" s="35"/>
      <c r="N171" s="35"/>
    </row>
    <row r="172" spans="1:14" s="9" customFormat="1" ht="46.8" x14ac:dyDescent="0.3">
      <c r="A172" s="30" t="s">
        <v>332</v>
      </c>
      <c r="B172" s="17">
        <v>992</v>
      </c>
      <c r="C172" s="34" t="s">
        <v>99</v>
      </c>
      <c r="D172" s="34" t="s">
        <v>481</v>
      </c>
      <c r="E172" s="34" t="s">
        <v>27</v>
      </c>
      <c r="F172" s="24">
        <f>F173</f>
        <v>23084300</v>
      </c>
      <c r="G172" s="24">
        <f t="shared" ref="G172:H172" si="105">G173</f>
        <v>23084300</v>
      </c>
      <c r="H172" s="24">
        <f t="shared" si="105"/>
        <v>6186885.5300000003</v>
      </c>
      <c r="I172" s="24">
        <f t="shared" si="83"/>
        <v>16897414.469999999</v>
      </c>
      <c r="J172" s="24">
        <f t="shared" si="89"/>
        <v>26.8</v>
      </c>
      <c r="K172" s="24">
        <f t="shared" si="84"/>
        <v>26.8</v>
      </c>
      <c r="L172" s="24"/>
      <c r="M172" s="35"/>
      <c r="N172" s="35"/>
    </row>
    <row r="173" spans="1:14" s="9" customFormat="1" ht="31.2" x14ac:dyDescent="0.3">
      <c r="A173" s="33" t="s">
        <v>125</v>
      </c>
      <c r="B173" s="17">
        <v>992</v>
      </c>
      <c r="C173" s="34" t="s">
        <v>99</v>
      </c>
      <c r="D173" s="34" t="s">
        <v>535</v>
      </c>
      <c r="E173" s="34" t="s">
        <v>126</v>
      </c>
      <c r="F173" s="24">
        <v>23084300</v>
      </c>
      <c r="G173" s="24">
        <v>23084300</v>
      </c>
      <c r="H173" s="24">
        <v>6186885.5300000003</v>
      </c>
      <c r="I173" s="24">
        <f t="shared" si="83"/>
        <v>16897414.469999999</v>
      </c>
      <c r="J173" s="24">
        <f t="shared" si="89"/>
        <v>26.8</v>
      </c>
      <c r="K173" s="24">
        <f t="shared" si="84"/>
        <v>26.8</v>
      </c>
      <c r="L173" s="24"/>
      <c r="M173" s="35"/>
      <c r="N173" s="35"/>
    </row>
    <row r="174" spans="1:14" s="9" customFormat="1" ht="46.8" x14ac:dyDescent="0.3">
      <c r="A174" s="62" t="s">
        <v>331</v>
      </c>
      <c r="B174" s="17">
        <v>992</v>
      </c>
      <c r="C174" s="34" t="s">
        <v>99</v>
      </c>
      <c r="D174" s="34" t="s">
        <v>536</v>
      </c>
      <c r="E174" s="34" t="s">
        <v>27</v>
      </c>
      <c r="F174" s="24">
        <f>F175</f>
        <v>13581700</v>
      </c>
      <c r="G174" s="24">
        <f t="shared" ref="G174:H174" si="106">G175</f>
        <v>13581700</v>
      </c>
      <c r="H174" s="24">
        <f t="shared" si="106"/>
        <v>0</v>
      </c>
      <c r="I174" s="24">
        <f t="shared" si="83"/>
        <v>13581700</v>
      </c>
      <c r="J174" s="24">
        <f t="shared" si="89"/>
        <v>0</v>
      </c>
      <c r="K174" s="24">
        <f t="shared" si="84"/>
        <v>0</v>
      </c>
      <c r="L174" s="24"/>
      <c r="M174" s="35"/>
      <c r="N174" s="35"/>
    </row>
    <row r="175" spans="1:14" s="9" customFormat="1" ht="31.2" x14ac:dyDescent="0.3">
      <c r="A175" s="33" t="s">
        <v>125</v>
      </c>
      <c r="B175" s="17">
        <v>992</v>
      </c>
      <c r="C175" s="34" t="s">
        <v>99</v>
      </c>
      <c r="D175" s="34" t="s">
        <v>536</v>
      </c>
      <c r="E175" s="34" t="s">
        <v>126</v>
      </c>
      <c r="F175" s="24">
        <v>13581700</v>
      </c>
      <c r="G175" s="24">
        <v>13581700</v>
      </c>
      <c r="H175" s="24">
        <v>0</v>
      </c>
      <c r="I175" s="24">
        <f t="shared" si="83"/>
        <v>13581700</v>
      </c>
      <c r="J175" s="24">
        <f t="shared" si="89"/>
        <v>0</v>
      </c>
      <c r="K175" s="24">
        <f t="shared" si="84"/>
        <v>0</v>
      </c>
      <c r="L175" s="24"/>
      <c r="M175" s="35"/>
      <c r="N175" s="35"/>
    </row>
    <row r="176" spans="1:14" s="9" customFormat="1" ht="46.8" x14ac:dyDescent="0.3">
      <c r="A176" s="50" t="s">
        <v>320</v>
      </c>
      <c r="B176" s="17">
        <v>992</v>
      </c>
      <c r="C176" s="34" t="s">
        <v>99</v>
      </c>
      <c r="D176" s="17" t="s">
        <v>155</v>
      </c>
      <c r="E176" s="34" t="s">
        <v>27</v>
      </c>
      <c r="F176" s="20">
        <f>F177</f>
        <v>0</v>
      </c>
      <c r="G176" s="20">
        <f t="shared" ref="G176:H179" si="107">G177</f>
        <v>12553038.060000001</v>
      </c>
      <c r="H176" s="20">
        <f t="shared" si="107"/>
        <v>12553038.060000001</v>
      </c>
      <c r="I176" s="20">
        <f t="shared" si="83"/>
        <v>0</v>
      </c>
      <c r="J176" s="20" t="s">
        <v>668</v>
      </c>
      <c r="K176" s="20">
        <f t="shared" si="84"/>
        <v>100</v>
      </c>
      <c r="L176" s="20"/>
      <c r="M176" s="35"/>
      <c r="N176" s="35"/>
    </row>
    <row r="177" spans="1:14" s="7" customFormat="1" ht="31.2" x14ac:dyDescent="0.25">
      <c r="A177" s="30" t="s">
        <v>318</v>
      </c>
      <c r="B177" s="17">
        <v>992</v>
      </c>
      <c r="C177" s="34" t="s">
        <v>99</v>
      </c>
      <c r="D177" s="17" t="s">
        <v>256</v>
      </c>
      <c r="E177" s="34" t="s">
        <v>27</v>
      </c>
      <c r="F177" s="20">
        <f>F178</f>
        <v>0</v>
      </c>
      <c r="G177" s="20">
        <f t="shared" si="107"/>
        <v>12553038.060000001</v>
      </c>
      <c r="H177" s="20">
        <f t="shared" si="107"/>
        <v>12553038.060000001</v>
      </c>
      <c r="I177" s="20">
        <f t="shared" si="83"/>
        <v>0</v>
      </c>
      <c r="J177" s="20" t="s">
        <v>668</v>
      </c>
      <c r="K177" s="20">
        <f t="shared" si="84"/>
        <v>100</v>
      </c>
      <c r="L177" s="20"/>
      <c r="M177" s="35"/>
      <c r="N177" s="35"/>
    </row>
    <row r="178" spans="1:14" s="7" customFormat="1" ht="15.6" x14ac:dyDescent="0.25">
      <c r="A178" s="30" t="s">
        <v>319</v>
      </c>
      <c r="B178" s="17">
        <v>992</v>
      </c>
      <c r="C178" s="34" t="s">
        <v>99</v>
      </c>
      <c r="D178" s="17" t="s">
        <v>253</v>
      </c>
      <c r="E178" s="34" t="s">
        <v>27</v>
      </c>
      <c r="F178" s="20">
        <f>F179</f>
        <v>0</v>
      </c>
      <c r="G178" s="20">
        <f t="shared" si="107"/>
        <v>12553038.060000001</v>
      </c>
      <c r="H178" s="20">
        <f t="shared" si="107"/>
        <v>12553038.060000001</v>
      </c>
      <c r="I178" s="20">
        <f t="shared" si="83"/>
        <v>0</v>
      </c>
      <c r="J178" s="20" t="s">
        <v>668</v>
      </c>
      <c r="K178" s="20">
        <f t="shared" si="84"/>
        <v>100</v>
      </c>
      <c r="L178" s="20"/>
      <c r="M178" s="35"/>
      <c r="N178" s="35"/>
    </row>
    <row r="179" spans="1:14" s="7" customFormat="1" ht="31.2" x14ac:dyDescent="0.25">
      <c r="A179" s="30" t="s">
        <v>563</v>
      </c>
      <c r="B179" s="17">
        <v>992</v>
      </c>
      <c r="C179" s="34" t="s">
        <v>99</v>
      </c>
      <c r="D179" s="17" t="s">
        <v>208</v>
      </c>
      <c r="E179" s="34" t="s">
        <v>27</v>
      </c>
      <c r="F179" s="22">
        <f>F180</f>
        <v>0</v>
      </c>
      <c r="G179" s="22">
        <f t="shared" si="107"/>
        <v>12553038.060000001</v>
      </c>
      <c r="H179" s="22">
        <f t="shared" si="107"/>
        <v>12553038.060000001</v>
      </c>
      <c r="I179" s="22">
        <f t="shared" si="83"/>
        <v>0</v>
      </c>
      <c r="J179" s="22" t="s">
        <v>668</v>
      </c>
      <c r="K179" s="22">
        <f t="shared" si="84"/>
        <v>100</v>
      </c>
      <c r="L179" s="22"/>
      <c r="M179" s="35"/>
      <c r="N179" s="35"/>
    </row>
    <row r="180" spans="1:14" s="7" customFormat="1" ht="31.2" x14ac:dyDescent="0.25">
      <c r="A180" s="30" t="s">
        <v>125</v>
      </c>
      <c r="B180" s="17">
        <v>992</v>
      </c>
      <c r="C180" s="34" t="s">
        <v>99</v>
      </c>
      <c r="D180" s="17" t="s">
        <v>208</v>
      </c>
      <c r="E180" s="17">
        <v>240</v>
      </c>
      <c r="F180" s="22">
        <f>0</f>
        <v>0</v>
      </c>
      <c r="G180" s="22">
        <f t="shared" ref="G180:H180" si="108">0+12553038.06</f>
        <v>12553038.060000001</v>
      </c>
      <c r="H180" s="22">
        <f t="shared" si="108"/>
        <v>12553038.060000001</v>
      </c>
      <c r="I180" s="22">
        <f t="shared" si="83"/>
        <v>0</v>
      </c>
      <c r="J180" s="22" t="s">
        <v>668</v>
      </c>
      <c r="K180" s="22">
        <f t="shared" si="84"/>
        <v>100</v>
      </c>
      <c r="L180" s="22"/>
      <c r="M180" s="35"/>
      <c r="N180" s="35"/>
    </row>
    <row r="181" spans="1:14" s="9" customFormat="1" ht="15.6" x14ac:dyDescent="0.3">
      <c r="A181" s="66" t="s">
        <v>266</v>
      </c>
      <c r="B181" s="16">
        <v>992</v>
      </c>
      <c r="C181" s="44" t="s">
        <v>267</v>
      </c>
      <c r="D181" s="16" t="s">
        <v>154</v>
      </c>
      <c r="E181" s="47" t="s">
        <v>27</v>
      </c>
      <c r="F181" s="24">
        <f>F182</f>
        <v>104100</v>
      </c>
      <c r="G181" s="24">
        <f t="shared" ref="G181:H185" si="109">G182</f>
        <v>104100</v>
      </c>
      <c r="H181" s="24">
        <f t="shared" si="109"/>
        <v>0</v>
      </c>
      <c r="I181" s="24">
        <f t="shared" si="83"/>
        <v>104100</v>
      </c>
      <c r="J181" s="24">
        <f t="shared" si="89"/>
        <v>0</v>
      </c>
      <c r="K181" s="24">
        <f t="shared" si="84"/>
        <v>0</v>
      </c>
      <c r="L181" s="24"/>
      <c r="M181" s="35"/>
      <c r="N181" s="35"/>
    </row>
    <row r="182" spans="1:14" s="9" customFormat="1" ht="62.4" x14ac:dyDescent="0.3">
      <c r="A182" s="57" t="s">
        <v>333</v>
      </c>
      <c r="B182" s="16">
        <v>992</v>
      </c>
      <c r="C182" s="44" t="s">
        <v>267</v>
      </c>
      <c r="D182" s="36" t="s">
        <v>169</v>
      </c>
      <c r="E182" s="47" t="s">
        <v>27</v>
      </c>
      <c r="F182" s="24">
        <f>F183</f>
        <v>104100</v>
      </c>
      <c r="G182" s="24">
        <f t="shared" si="109"/>
        <v>104100</v>
      </c>
      <c r="H182" s="24">
        <f t="shared" si="109"/>
        <v>0</v>
      </c>
      <c r="I182" s="24">
        <f t="shared" si="83"/>
        <v>104100</v>
      </c>
      <c r="J182" s="24">
        <f t="shared" si="89"/>
        <v>0</v>
      </c>
      <c r="K182" s="24">
        <f t="shared" si="84"/>
        <v>0</v>
      </c>
      <c r="L182" s="24"/>
      <c r="M182" s="35"/>
      <c r="N182" s="35"/>
    </row>
    <row r="183" spans="1:14" s="9" customFormat="1" ht="46.8" x14ac:dyDescent="0.3">
      <c r="A183" s="57" t="s">
        <v>334</v>
      </c>
      <c r="B183" s="16">
        <v>992</v>
      </c>
      <c r="C183" s="44" t="s">
        <v>267</v>
      </c>
      <c r="D183" s="36" t="s">
        <v>268</v>
      </c>
      <c r="E183" s="47" t="s">
        <v>27</v>
      </c>
      <c r="F183" s="24">
        <f>F184</f>
        <v>104100</v>
      </c>
      <c r="G183" s="24">
        <f t="shared" si="109"/>
        <v>104100</v>
      </c>
      <c r="H183" s="24">
        <f t="shared" si="109"/>
        <v>0</v>
      </c>
      <c r="I183" s="24">
        <f t="shared" si="83"/>
        <v>104100</v>
      </c>
      <c r="J183" s="24">
        <f t="shared" si="89"/>
        <v>0</v>
      </c>
      <c r="K183" s="24">
        <f t="shared" si="84"/>
        <v>0</v>
      </c>
      <c r="L183" s="24"/>
      <c r="M183" s="35"/>
      <c r="N183" s="35"/>
    </row>
    <row r="184" spans="1:14" s="9" customFormat="1" ht="31.2" x14ac:dyDescent="0.3">
      <c r="A184" s="62" t="s">
        <v>269</v>
      </c>
      <c r="B184" s="16">
        <v>992</v>
      </c>
      <c r="C184" s="44" t="s">
        <v>267</v>
      </c>
      <c r="D184" s="36" t="s">
        <v>270</v>
      </c>
      <c r="E184" s="47" t="s">
        <v>27</v>
      </c>
      <c r="F184" s="24">
        <f>F185</f>
        <v>104100</v>
      </c>
      <c r="G184" s="24">
        <f t="shared" si="109"/>
        <v>104100</v>
      </c>
      <c r="H184" s="24">
        <f t="shared" si="109"/>
        <v>0</v>
      </c>
      <c r="I184" s="24">
        <f t="shared" si="83"/>
        <v>104100</v>
      </c>
      <c r="J184" s="24">
        <f t="shared" si="89"/>
        <v>0</v>
      </c>
      <c r="K184" s="24">
        <f t="shared" si="84"/>
        <v>0</v>
      </c>
      <c r="L184" s="24"/>
      <c r="M184" s="35"/>
      <c r="N184" s="35"/>
    </row>
    <row r="185" spans="1:14" s="9" customFormat="1" ht="31.2" x14ac:dyDescent="0.3">
      <c r="A185" s="62" t="s">
        <v>271</v>
      </c>
      <c r="B185" s="16">
        <v>992</v>
      </c>
      <c r="C185" s="44" t="s">
        <v>267</v>
      </c>
      <c r="D185" s="36" t="s">
        <v>435</v>
      </c>
      <c r="E185" s="47" t="s">
        <v>27</v>
      </c>
      <c r="F185" s="24">
        <f>F186</f>
        <v>104100</v>
      </c>
      <c r="G185" s="24">
        <f t="shared" si="109"/>
        <v>104100</v>
      </c>
      <c r="H185" s="24">
        <f t="shared" si="109"/>
        <v>0</v>
      </c>
      <c r="I185" s="24">
        <f t="shared" si="83"/>
        <v>104100</v>
      </c>
      <c r="J185" s="24">
        <f t="shared" si="89"/>
        <v>0</v>
      </c>
      <c r="K185" s="24">
        <f t="shared" si="84"/>
        <v>0</v>
      </c>
      <c r="L185" s="24"/>
      <c r="M185" s="35"/>
      <c r="N185" s="35"/>
    </row>
    <row r="186" spans="1:14" s="9" customFormat="1" ht="31.2" x14ac:dyDescent="0.3">
      <c r="A186" s="46" t="s">
        <v>125</v>
      </c>
      <c r="B186" s="16">
        <v>992</v>
      </c>
      <c r="C186" s="44" t="s">
        <v>267</v>
      </c>
      <c r="D186" s="36" t="s">
        <v>435</v>
      </c>
      <c r="E186" s="47" t="s">
        <v>126</v>
      </c>
      <c r="F186" s="24">
        <v>104100</v>
      </c>
      <c r="G186" s="24">
        <v>104100</v>
      </c>
      <c r="H186" s="24">
        <v>0</v>
      </c>
      <c r="I186" s="24">
        <f t="shared" si="83"/>
        <v>104100</v>
      </c>
      <c r="J186" s="24">
        <f t="shared" si="89"/>
        <v>0</v>
      </c>
      <c r="K186" s="24">
        <f t="shared" si="84"/>
        <v>0</v>
      </c>
      <c r="L186" s="24"/>
      <c r="M186" s="35"/>
      <c r="N186" s="35"/>
    </row>
    <row r="187" spans="1:14" s="9" customFormat="1" ht="15.6" x14ac:dyDescent="0.3">
      <c r="A187" s="68" t="s">
        <v>143</v>
      </c>
      <c r="B187" s="55">
        <v>992</v>
      </c>
      <c r="C187" s="69" t="s">
        <v>144</v>
      </c>
      <c r="D187" s="65" t="s">
        <v>154</v>
      </c>
      <c r="E187" s="70" t="s">
        <v>27</v>
      </c>
      <c r="F187" s="21">
        <f>F188+F212+F300+F253</f>
        <v>43475016.920000002</v>
      </c>
      <c r="G187" s="21">
        <f t="shared" ref="G187:H187" si="110">G188+G212+G300+G253</f>
        <v>91896388.099999994</v>
      </c>
      <c r="H187" s="21">
        <f t="shared" si="110"/>
        <v>20906163.32</v>
      </c>
      <c r="I187" s="21">
        <f t="shared" si="83"/>
        <v>70990224.780000001</v>
      </c>
      <c r="J187" s="21">
        <f t="shared" si="89"/>
        <v>48.09</v>
      </c>
      <c r="K187" s="21">
        <f t="shared" si="84"/>
        <v>22.75</v>
      </c>
      <c r="L187" s="21"/>
      <c r="M187" s="35"/>
      <c r="N187" s="35"/>
    </row>
    <row r="188" spans="1:14" s="9" customFormat="1" ht="15.6" x14ac:dyDescent="0.3">
      <c r="A188" s="57" t="s">
        <v>145</v>
      </c>
      <c r="B188" s="17">
        <v>992</v>
      </c>
      <c r="C188" s="34" t="s">
        <v>146</v>
      </c>
      <c r="D188" s="17" t="s">
        <v>154</v>
      </c>
      <c r="E188" s="34" t="s">
        <v>27</v>
      </c>
      <c r="F188" s="20">
        <f>F189+F205</f>
        <v>6504000</v>
      </c>
      <c r="G188" s="20">
        <f t="shared" ref="G188:H188" si="111">G189+G205</f>
        <v>10224171.369999999</v>
      </c>
      <c r="H188" s="20">
        <f t="shared" si="111"/>
        <v>3420837.96</v>
      </c>
      <c r="I188" s="20">
        <f t="shared" si="83"/>
        <v>6803333.4100000001</v>
      </c>
      <c r="J188" s="20">
        <f t="shared" si="89"/>
        <v>52.6</v>
      </c>
      <c r="K188" s="20">
        <f t="shared" si="84"/>
        <v>33.46</v>
      </c>
      <c r="L188" s="20"/>
      <c r="M188" s="35"/>
      <c r="N188" s="35"/>
    </row>
    <row r="189" spans="1:14" s="9" customFormat="1" ht="62.4" x14ac:dyDescent="0.3">
      <c r="A189" s="43" t="s">
        <v>567</v>
      </c>
      <c r="B189" s="17">
        <v>992</v>
      </c>
      <c r="C189" s="34" t="s">
        <v>146</v>
      </c>
      <c r="D189" s="17" t="s">
        <v>170</v>
      </c>
      <c r="E189" s="34" t="s">
        <v>27</v>
      </c>
      <c r="F189" s="20">
        <f>F190+F194+F199</f>
        <v>6104000</v>
      </c>
      <c r="G189" s="20">
        <f t="shared" ref="G189:H189" si="112">G190+G194+G199</f>
        <v>8604000</v>
      </c>
      <c r="H189" s="20">
        <f t="shared" si="112"/>
        <v>3234601.27</v>
      </c>
      <c r="I189" s="20">
        <f t="shared" si="83"/>
        <v>5369398.7300000004</v>
      </c>
      <c r="J189" s="20">
        <f t="shared" si="89"/>
        <v>52.99</v>
      </c>
      <c r="K189" s="20">
        <f t="shared" si="84"/>
        <v>37.590000000000003</v>
      </c>
      <c r="L189" s="20"/>
      <c r="M189" s="35"/>
      <c r="N189" s="35"/>
    </row>
    <row r="190" spans="1:14" s="9" customFormat="1" ht="46.8" x14ac:dyDescent="0.3">
      <c r="A190" s="62" t="s">
        <v>569</v>
      </c>
      <c r="B190" s="17">
        <v>992</v>
      </c>
      <c r="C190" s="34" t="s">
        <v>146</v>
      </c>
      <c r="D190" s="36" t="s">
        <v>570</v>
      </c>
      <c r="E190" s="41" t="s">
        <v>27</v>
      </c>
      <c r="F190" s="24">
        <f>F191</f>
        <v>100000</v>
      </c>
      <c r="G190" s="24">
        <f t="shared" ref="G190:H192" si="113">G191</f>
        <v>100000</v>
      </c>
      <c r="H190" s="24">
        <f t="shared" si="113"/>
        <v>0</v>
      </c>
      <c r="I190" s="24">
        <f t="shared" si="83"/>
        <v>100000</v>
      </c>
      <c r="J190" s="24">
        <f t="shared" si="89"/>
        <v>0</v>
      </c>
      <c r="K190" s="24">
        <f t="shared" si="84"/>
        <v>0</v>
      </c>
      <c r="L190" s="24"/>
      <c r="M190" s="35"/>
      <c r="N190" s="35"/>
    </row>
    <row r="191" spans="1:14" s="9" customFormat="1" ht="31.2" x14ac:dyDescent="0.3">
      <c r="A191" s="62" t="s">
        <v>572</v>
      </c>
      <c r="B191" s="17">
        <v>992</v>
      </c>
      <c r="C191" s="34" t="s">
        <v>146</v>
      </c>
      <c r="D191" s="36" t="s">
        <v>571</v>
      </c>
      <c r="E191" s="41" t="s">
        <v>27</v>
      </c>
      <c r="F191" s="24">
        <f>F192</f>
        <v>100000</v>
      </c>
      <c r="G191" s="24">
        <f t="shared" si="113"/>
        <v>100000</v>
      </c>
      <c r="H191" s="24">
        <f t="shared" si="113"/>
        <v>0</v>
      </c>
      <c r="I191" s="24">
        <f t="shared" si="83"/>
        <v>100000</v>
      </c>
      <c r="J191" s="24">
        <f t="shared" si="89"/>
        <v>0</v>
      </c>
      <c r="K191" s="24">
        <f t="shared" si="84"/>
        <v>0</v>
      </c>
      <c r="L191" s="24"/>
      <c r="M191" s="35"/>
      <c r="N191" s="35"/>
    </row>
    <row r="192" spans="1:14" s="9" customFormat="1" ht="51.6" customHeight="1" x14ac:dyDescent="0.3">
      <c r="A192" s="62" t="s">
        <v>440</v>
      </c>
      <c r="B192" s="17">
        <v>992</v>
      </c>
      <c r="C192" s="34" t="s">
        <v>146</v>
      </c>
      <c r="D192" s="48" t="s">
        <v>568</v>
      </c>
      <c r="E192" s="41" t="s">
        <v>27</v>
      </c>
      <c r="F192" s="24">
        <f>F193</f>
        <v>100000</v>
      </c>
      <c r="G192" s="24">
        <f t="shared" si="113"/>
        <v>100000</v>
      </c>
      <c r="H192" s="24">
        <f t="shared" si="113"/>
        <v>0</v>
      </c>
      <c r="I192" s="24">
        <f t="shared" si="83"/>
        <v>100000</v>
      </c>
      <c r="J192" s="24">
        <f t="shared" si="89"/>
        <v>0</v>
      </c>
      <c r="K192" s="24">
        <f t="shared" si="84"/>
        <v>0</v>
      </c>
      <c r="L192" s="24"/>
      <c r="M192" s="35"/>
      <c r="N192" s="35"/>
    </row>
    <row r="193" spans="1:14" s="9" customFormat="1" ht="31.2" x14ac:dyDescent="0.3">
      <c r="A193" s="30" t="s">
        <v>136</v>
      </c>
      <c r="B193" s="17">
        <v>992</v>
      </c>
      <c r="C193" s="34" t="s">
        <v>146</v>
      </c>
      <c r="D193" s="48" t="s">
        <v>568</v>
      </c>
      <c r="E193" s="41" t="s">
        <v>137</v>
      </c>
      <c r="F193" s="24">
        <v>100000</v>
      </c>
      <c r="G193" s="24">
        <v>100000</v>
      </c>
      <c r="H193" s="24">
        <v>0</v>
      </c>
      <c r="I193" s="24">
        <f t="shared" si="83"/>
        <v>100000</v>
      </c>
      <c r="J193" s="24">
        <f t="shared" si="89"/>
        <v>0</v>
      </c>
      <c r="K193" s="24">
        <f t="shared" si="84"/>
        <v>0</v>
      </c>
      <c r="L193" s="24"/>
      <c r="M193" s="35"/>
      <c r="N193" s="35"/>
    </row>
    <row r="194" spans="1:14" s="9" customFormat="1" ht="46.8" x14ac:dyDescent="0.3">
      <c r="A194" s="62" t="s">
        <v>390</v>
      </c>
      <c r="B194" s="17">
        <v>992</v>
      </c>
      <c r="C194" s="34" t="s">
        <v>146</v>
      </c>
      <c r="D194" s="36" t="s">
        <v>197</v>
      </c>
      <c r="E194" s="41" t="s">
        <v>27</v>
      </c>
      <c r="F194" s="24">
        <f>F195</f>
        <v>2200000</v>
      </c>
      <c r="G194" s="24">
        <f t="shared" ref="G194:H195" si="114">G195</f>
        <v>2200000</v>
      </c>
      <c r="H194" s="24">
        <f t="shared" si="114"/>
        <v>459327.58</v>
      </c>
      <c r="I194" s="24">
        <f t="shared" si="83"/>
        <v>1740672.42</v>
      </c>
      <c r="J194" s="24">
        <f t="shared" si="89"/>
        <v>20.88</v>
      </c>
      <c r="K194" s="24">
        <f t="shared" si="84"/>
        <v>20.88</v>
      </c>
      <c r="L194" s="24"/>
      <c r="M194" s="35"/>
      <c r="N194" s="35"/>
    </row>
    <row r="195" spans="1:14" s="9" customFormat="1" ht="31.2" x14ac:dyDescent="0.3">
      <c r="A195" s="62" t="s">
        <v>575</v>
      </c>
      <c r="B195" s="17">
        <v>992</v>
      </c>
      <c r="C195" s="34" t="s">
        <v>146</v>
      </c>
      <c r="D195" s="36" t="s">
        <v>574</v>
      </c>
      <c r="E195" s="41" t="s">
        <v>27</v>
      </c>
      <c r="F195" s="24">
        <f>F196</f>
        <v>2200000</v>
      </c>
      <c r="G195" s="24">
        <f t="shared" si="114"/>
        <v>2200000</v>
      </c>
      <c r="H195" s="24">
        <f t="shared" si="114"/>
        <v>459327.58</v>
      </c>
      <c r="I195" s="24">
        <f t="shared" si="83"/>
        <v>1740672.42</v>
      </c>
      <c r="J195" s="24">
        <f t="shared" si="89"/>
        <v>20.88</v>
      </c>
      <c r="K195" s="24">
        <f t="shared" si="84"/>
        <v>20.88</v>
      </c>
      <c r="L195" s="24"/>
      <c r="M195" s="35"/>
      <c r="N195" s="35"/>
    </row>
    <row r="196" spans="1:14" s="9" customFormat="1" ht="46.8" x14ac:dyDescent="0.3">
      <c r="A196" s="62" t="s">
        <v>391</v>
      </c>
      <c r="B196" s="17">
        <v>992</v>
      </c>
      <c r="C196" s="34" t="s">
        <v>146</v>
      </c>
      <c r="D196" s="48" t="s">
        <v>573</v>
      </c>
      <c r="E196" s="41" t="s">
        <v>27</v>
      </c>
      <c r="F196" s="24">
        <f>F197+F198</f>
        <v>2200000</v>
      </c>
      <c r="G196" s="24">
        <f t="shared" ref="G196:H196" si="115">G197+G198</f>
        <v>2200000</v>
      </c>
      <c r="H196" s="24">
        <f t="shared" si="115"/>
        <v>459327.58</v>
      </c>
      <c r="I196" s="24">
        <f t="shared" si="83"/>
        <v>1740672.42</v>
      </c>
      <c r="J196" s="24">
        <f t="shared" si="89"/>
        <v>20.88</v>
      </c>
      <c r="K196" s="24">
        <f t="shared" si="84"/>
        <v>20.88</v>
      </c>
      <c r="L196" s="24"/>
      <c r="M196" s="35"/>
      <c r="N196" s="35"/>
    </row>
    <row r="197" spans="1:14" s="9" customFormat="1" ht="62.4" x14ac:dyDescent="0.3">
      <c r="A197" s="30" t="s">
        <v>229</v>
      </c>
      <c r="B197" s="17">
        <v>992</v>
      </c>
      <c r="C197" s="34" t="s">
        <v>146</v>
      </c>
      <c r="D197" s="48" t="s">
        <v>573</v>
      </c>
      <c r="E197" s="41" t="s">
        <v>116</v>
      </c>
      <c r="F197" s="24">
        <f>0</f>
        <v>0</v>
      </c>
      <c r="G197" s="24">
        <f t="shared" ref="G197" si="116">0+500000</f>
        <v>500000</v>
      </c>
      <c r="H197" s="24">
        <v>62800.09</v>
      </c>
      <c r="I197" s="24">
        <f t="shared" si="83"/>
        <v>437199.91</v>
      </c>
      <c r="J197" s="24" t="s">
        <v>668</v>
      </c>
      <c r="K197" s="24">
        <f t="shared" si="84"/>
        <v>12.56</v>
      </c>
      <c r="L197" s="24"/>
      <c r="M197" s="35"/>
      <c r="N197" s="35"/>
    </row>
    <row r="198" spans="1:14" s="9" customFormat="1" ht="46.8" x14ac:dyDescent="0.3">
      <c r="A198" s="30" t="s">
        <v>111</v>
      </c>
      <c r="B198" s="17">
        <v>992</v>
      </c>
      <c r="C198" s="34" t="s">
        <v>146</v>
      </c>
      <c r="D198" s="48" t="s">
        <v>573</v>
      </c>
      <c r="E198" s="41" t="s">
        <v>89</v>
      </c>
      <c r="F198" s="20">
        <f>2200000</f>
        <v>2200000</v>
      </c>
      <c r="G198" s="20">
        <f t="shared" ref="G198" si="117">2200000-500000</f>
        <v>1700000</v>
      </c>
      <c r="H198" s="20">
        <v>396527.49</v>
      </c>
      <c r="I198" s="20">
        <f t="shared" si="83"/>
        <v>1303472.51</v>
      </c>
      <c r="J198" s="20">
        <f t="shared" si="89"/>
        <v>18.02</v>
      </c>
      <c r="K198" s="20">
        <f t="shared" si="84"/>
        <v>23.33</v>
      </c>
      <c r="L198" s="20"/>
      <c r="M198" s="35"/>
      <c r="N198" s="35"/>
    </row>
    <row r="199" spans="1:14" s="9" customFormat="1" ht="31.2" x14ac:dyDescent="0.3">
      <c r="A199" s="62" t="s">
        <v>578</v>
      </c>
      <c r="B199" s="17">
        <v>992</v>
      </c>
      <c r="C199" s="34" t="s">
        <v>146</v>
      </c>
      <c r="D199" s="36" t="s">
        <v>178</v>
      </c>
      <c r="E199" s="41" t="s">
        <v>27</v>
      </c>
      <c r="F199" s="24">
        <f>F200</f>
        <v>3804000</v>
      </c>
      <c r="G199" s="24">
        <f t="shared" ref="G199:H199" si="118">G200</f>
        <v>6304000</v>
      </c>
      <c r="H199" s="24">
        <f t="shared" si="118"/>
        <v>2775273.69</v>
      </c>
      <c r="I199" s="24">
        <f t="shared" si="83"/>
        <v>3528726.31</v>
      </c>
      <c r="J199" s="24">
        <f t="shared" si="89"/>
        <v>72.959999999999994</v>
      </c>
      <c r="K199" s="24">
        <f t="shared" si="84"/>
        <v>44.02</v>
      </c>
      <c r="L199" s="24"/>
      <c r="M199" s="35"/>
      <c r="N199" s="35"/>
    </row>
    <row r="200" spans="1:14" s="9" customFormat="1" ht="31.2" x14ac:dyDescent="0.3">
      <c r="A200" s="62" t="s">
        <v>579</v>
      </c>
      <c r="B200" s="17">
        <v>992</v>
      </c>
      <c r="C200" s="34" t="s">
        <v>146</v>
      </c>
      <c r="D200" s="36" t="s">
        <v>393</v>
      </c>
      <c r="E200" s="41" t="s">
        <v>27</v>
      </c>
      <c r="F200" s="24">
        <f>F203+F201</f>
        <v>3804000</v>
      </c>
      <c r="G200" s="24">
        <f t="shared" ref="G200:H200" si="119">G203+G201</f>
        <v>6304000</v>
      </c>
      <c r="H200" s="24">
        <f t="shared" si="119"/>
        <v>2775273.69</v>
      </c>
      <c r="I200" s="24">
        <f t="shared" si="83"/>
        <v>3528726.31</v>
      </c>
      <c r="J200" s="24">
        <f t="shared" si="89"/>
        <v>72.959999999999994</v>
      </c>
      <c r="K200" s="24">
        <f t="shared" si="84"/>
        <v>44.02</v>
      </c>
      <c r="L200" s="24"/>
      <c r="M200" s="35"/>
      <c r="N200" s="35"/>
    </row>
    <row r="201" spans="1:14" s="7" customFormat="1" ht="15.6" x14ac:dyDescent="0.25">
      <c r="A201" s="62" t="s">
        <v>580</v>
      </c>
      <c r="B201" s="17">
        <v>992</v>
      </c>
      <c r="C201" s="34" t="s">
        <v>146</v>
      </c>
      <c r="D201" s="17" t="s">
        <v>577</v>
      </c>
      <c r="E201" s="41" t="s">
        <v>27</v>
      </c>
      <c r="F201" s="24">
        <f>F202</f>
        <v>2100000</v>
      </c>
      <c r="G201" s="24">
        <f t="shared" ref="G201:H201" si="120">G202</f>
        <v>4600000</v>
      </c>
      <c r="H201" s="24">
        <f t="shared" si="120"/>
        <v>1091825.03</v>
      </c>
      <c r="I201" s="24">
        <f t="shared" si="83"/>
        <v>3508174.97</v>
      </c>
      <c r="J201" s="24">
        <f t="shared" si="89"/>
        <v>51.99</v>
      </c>
      <c r="K201" s="24">
        <f t="shared" si="84"/>
        <v>23.74</v>
      </c>
      <c r="L201" s="24"/>
      <c r="M201" s="35"/>
      <c r="N201" s="35"/>
    </row>
    <row r="202" spans="1:14" s="7" customFormat="1" ht="31.2" x14ac:dyDescent="0.25">
      <c r="A202" s="33" t="s">
        <v>125</v>
      </c>
      <c r="B202" s="17">
        <v>992</v>
      </c>
      <c r="C202" s="34" t="s">
        <v>146</v>
      </c>
      <c r="D202" s="17" t="s">
        <v>577</v>
      </c>
      <c r="E202" s="41" t="s">
        <v>126</v>
      </c>
      <c r="F202" s="24">
        <f>2100000</f>
        <v>2100000</v>
      </c>
      <c r="G202" s="24">
        <f t="shared" ref="G202" si="121">2100000+2500000</f>
        <v>4600000</v>
      </c>
      <c r="H202" s="24">
        <v>1091825.03</v>
      </c>
      <c r="I202" s="24">
        <f t="shared" ref="I202:I269" si="122">$G202-$H202</f>
        <v>3508174.97</v>
      </c>
      <c r="J202" s="24">
        <f t="shared" ref="J202:J269" si="123">$H202/$F202*100</f>
        <v>51.99</v>
      </c>
      <c r="K202" s="24">
        <f t="shared" ref="K202:K269" si="124">$H202/$G202*100</f>
        <v>23.74</v>
      </c>
      <c r="L202" s="24"/>
      <c r="M202" s="35"/>
      <c r="N202" s="35"/>
    </row>
    <row r="203" spans="1:14" s="7" customFormat="1" ht="46.8" x14ac:dyDescent="0.3">
      <c r="A203" s="66" t="s">
        <v>150</v>
      </c>
      <c r="B203" s="17">
        <v>992</v>
      </c>
      <c r="C203" s="34" t="s">
        <v>146</v>
      </c>
      <c r="D203" s="17" t="s">
        <v>576</v>
      </c>
      <c r="E203" s="41" t="s">
        <v>27</v>
      </c>
      <c r="F203" s="24">
        <f t="shared" ref="F203:H203" si="125">F204</f>
        <v>1704000</v>
      </c>
      <c r="G203" s="24">
        <f t="shared" si="125"/>
        <v>1704000</v>
      </c>
      <c r="H203" s="24">
        <f t="shared" si="125"/>
        <v>1683448.66</v>
      </c>
      <c r="I203" s="24">
        <f t="shared" si="122"/>
        <v>20551.34</v>
      </c>
      <c r="J203" s="24">
        <f t="shared" si="123"/>
        <v>98.79</v>
      </c>
      <c r="K203" s="24">
        <f t="shared" si="124"/>
        <v>98.79</v>
      </c>
      <c r="L203" s="24"/>
      <c r="M203" s="35"/>
      <c r="N203" s="35"/>
    </row>
    <row r="204" spans="1:14" s="7" customFormat="1" ht="31.2" x14ac:dyDescent="0.25">
      <c r="A204" s="33" t="s">
        <v>125</v>
      </c>
      <c r="B204" s="17">
        <v>992</v>
      </c>
      <c r="C204" s="34" t="s">
        <v>146</v>
      </c>
      <c r="D204" s="17" t="s">
        <v>576</v>
      </c>
      <c r="E204" s="41" t="s">
        <v>126</v>
      </c>
      <c r="F204" s="24">
        <v>1704000</v>
      </c>
      <c r="G204" s="24">
        <v>1704000</v>
      </c>
      <c r="H204" s="24">
        <v>1683448.66</v>
      </c>
      <c r="I204" s="24">
        <f t="shared" si="122"/>
        <v>20551.34</v>
      </c>
      <c r="J204" s="24">
        <f t="shared" si="123"/>
        <v>98.79</v>
      </c>
      <c r="K204" s="24">
        <f t="shared" si="124"/>
        <v>98.79</v>
      </c>
      <c r="L204" s="24"/>
      <c r="M204" s="35"/>
      <c r="N204" s="35"/>
    </row>
    <row r="205" spans="1:14" s="9" customFormat="1" ht="46.8" x14ac:dyDescent="0.3">
      <c r="A205" s="50" t="s">
        <v>320</v>
      </c>
      <c r="B205" s="16">
        <v>992</v>
      </c>
      <c r="C205" s="44" t="s">
        <v>146</v>
      </c>
      <c r="D205" s="44" t="s">
        <v>155</v>
      </c>
      <c r="E205" s="44" t="s">
        <v>27</v>
      </c>
      <c r="F205" s="24">
        <f>F206</f>
        <v>400000</v>
      </c>
      <c r="G205" s="24">
        <f t="shared" ref="G205:H206" si="126">G206</f>
        <v>1620171.37</v>
      </c>
      <c r="H205" s="24">
        <f t="shared" si="126"/>
        <v>186236.69</v>
      </c>
      <c r="I205" s="24">
        <f t="shared" si="122"/>
        <v>1433934.68</v>
      </c>
      <c r="J205" s="24">
        <f t="shared" si="123"/>
        <v>46.56</v>
      </c>
      <c r="K205" s="24">
        <f t="shared" si="124"/>
        <v>11.49</v>
      </c>
      <c r="L205" s="24"/>
      <c r="M205" s="35"/>
      <c r="N205" s="35"/>
    </row>
    <row r="206" spans="1:14" s="9" customFormat="1" ht="31.2" x14ac:dyDescent="0.3">
      <c r="A206" s="30" t="s">
        <v>318</v>
      </c>
      <c r="B206" s="16">
        <v>992</v>
      </c>
      <c r="C206" s="44" t="s">
        <v>146</v>
      </c>
      <c r="D206" s="44" t="s">
        <v>256</v>
      </c>
      <c r="E206" s="44" t="s">
        <v>27</v>
      </c>
      <c r="F206" s="24">
        <f>F207</f>
        <v>400000</v>
      </c>
      <c r="G206" s="24">
        <f t="shared" si="126"/>
        <v>1620171.37</v>
      </c>
      <c r="H206" s="24">
        <f t="shared" si="126"/>
        <v>186236.69</v>
      </c>
      <c r="I206" s="24">
        <f t="shared" si="122"/>
        <v>1433934.68</v>
      </c>
      <c r="J206" s="24">
        <f t="shared" si="123"/>
        <v>46.56</v>
      </c>
      <c r="K206" s="24">
        <f t="shared" si="124"/>
        <v>11.49</v>
      </c>
      <c r="L206" s="24"/>
      <c r="M206" s="35"/>
      <c r="N206" s="35"/>
    </row>
    <row r="207" spans="1:14" s="9" customFormat="1" ht="15.6" x14ac:dyDescent="0.3">
      <c r="A207" s="30" t="s">
        <v>319</v>
      </c>
      <c r="B207" s="16">
        <v>992</v>
      </c>
      <c r="C207" s="44" t="s">
        <v>146</v>
      </c>
      <c r="D207" s="44" t="s">
        <v>253</v>
      </c>
      <c r="E207" s="44" t="s">
        <v>27</v>
      </c>
      <c r="F207" s="24">
        <f>F208+F210</f>
        <v>400000</v>
      </c>
      <c r="G207" s="24">
        <f t="shared" ref="G207:H207" si="127">G208+G210</f>
        <v>1620171.37</v>
      </c>
      <c r="H207" s="24">
        <f t="shared" si="127"/>
        <v>186236.69</v>
      </c>
      <c r="I207" s="24">
        <f t="shared" si="122"/>
        <v>1433934.68</v>
      </c>
      <c r="J207" s="24">
        <f t="shared" si="123"/>
        <v>46.56</v>
      </c>
      <c r="K207" s="24">
        <f t="shared" si="124"/>
        <v>11.49</v>
      </c>
      <c r="L207" s="24"/>
      <c r="M207" s="35"/>
      <c r="N207" s="35"/>
    </row>
    <row r="208" spans="1:14" s="7" customFormat="1" ht="31.2" x14ac:dyDescent="0.25">
      <c r="A208" s="62" t="s">
        <v>616</v>
      </c>
      <c r="B208" s="17">
        <v>992</v>
      </c>
      <c r="C208" s="34" t="s">
        <v>146</v>
      </c>
      <c r="D208" s="17" t="s">
        <v>499</v>
      </c>
      <c r="E208" s="41" t="s">
        <v>27</v>
      </c>
      <c r="F208" s="24">
        <f>F209</f>
        <v>400000</v>
      </c>
      <c r="G208" s="24">
        <f t="shared" ref="G208:H208" si="128">G209</f>
        <v>882440.15</v>
      </c>
      <c r="H208" s="24">
        <f t="shared" si="128"/>
        <v>62812.07</v>
      </c>
      <c r="I208" s="24">
        <f t="shared" si="122"/>
        <v>819628.08</v>
      </c>
      <c r="J208" s="24">
        <f t="shared" si="123"/>
        <v>15.7</v>
      </c>
      <c r="K208" s="24">
        <f t="shared" si="124"/>
        <v>7.12</v>
      </c>
      <c r="L208" s="24"/>
      <c r="M208" s="35"/>
      <c r="N208" s="35"/>
    </row>
    <row r="209" spans="1:14" s="7" customFormat="1" ht="31.2" x14ac:dyDescent="0.25">
      <c r="A209" s="33" t="s">
        <v>125</v>
      </c>
      <c r="B209" s="17">
        <v>992</v>
      </c>
      <c r="C209" s="34" t="s">
        <v>146</v>
      </c>
      <c r="D209" s="17" t="s">
        <v>499</v>
      </c>
      <c r="E209" s="41" t="s">
        <v>126</v>
      </c>
      <c r="F209" s="24">
        <f>400000</f>
        <v>400000</v>
      </c>
      <c r="G209" s="27">
        <v>882440.15</v>
      </c>
      <c r="H209" s="24">
        <v>62812.07</v>
      </c>
      <c r="I209" s="24">
        <f t="shared" si="122"/>
        <v>819628.08</v>
      </c>
      <c r="J209" s="24">
        <f t="shared" si="123"/>
        <v>15.7</v>
      </c>
      <c r="K209" s="24">
        <f t="shared" si="124"/>
        <v>7.12</v>
      </c>
      <c r="L209" s="24"/>
      <c r="M209" s="35"/>
      <c r="N209" s="35"/>
    </row>
    <row r="210" spans="1:14" s="7" customFormat="1" ht="31.2" x14ac:dyDescent="0.25">
      <c r="A210" s="62" t="s">
        <v>617</v>
      </c>
      <c r="B210" s="17">
        <v>992</v>
      </c>
      <c r="C210" s="34" t="s">
        <v>146</v>
      </c>
      <c r="D210" s="17" t="s">
        <v>212</v>
      </c>
      <c r="E210" s="41" t="s">
        <v>27</v>
      </c>
      <c r="F210" s="24">
        <f>F211</f>
        <v>0</v>
      </c>
      <c r="G210" s="24">
        <f t="shared" ref="G210:H210" si="129">G211</f>
        <v>737731.22</v>
      </c>
      <c r="H210" s="24">
        <f t="shared" si="129"/>
        <v>123424.62</v>
      </c>
      <c r="I210" s="24">
        <f t="shared" si="122"/>
        <v>614306.6</v>
      </c>
      <c r="J210" s="24" t="s">
        <v>668</v>
      </c>
      <c r="K210" s="24">
        <f t="shared" si="124"/>
        <v>16.73</v>
      </c>
      <c r="L210" s="24"/>
      <c r="M210" s="35"/>
      <c r="N210" s="35"/>
    </row>
    <row r="211" spans="1:14" s="7" customFormat="1" ht="31.2" x14ac:dyDescent="0.25">
      <c r="A211" s="33" t="s">
        <v>125</v>
      </c>
      <c r="B211" s="17">
        <v>992</v>
      </c>
      <c r="C211" s="34" t="s">
        <v>146</v>
      </c>
      <c r="D211" s="17" t="s">
        <v>212</v>
      </c>
      <c r="E211" s="41" t="s">
        <v>126</v>
      </c>
      <c r="F211" s="24">
        <v>0</v>
      </c>
      <c r="G211" s="24">
        <f t="shared" ref="G211" si="130">317000+285072+135659.22</f>
        <v>737731.22</v>
      </c>
      <c r="H211" s="24">
        <v>123424.62</v>
      </c>
      <c r="I211" s="24">
        <f t="shared" si="122"/>
        <v>614306.6</v>
      </c>
      <c r="J211" s="24" t="s">
        <v>668</v>
      </c>
      <c r="K211" s="24">
        <f t="shared" si="124"/>
        <v>16.73</v>
      </c>
      <c r="L211" s="24"/>
      <c r="M211" s="35"/>
      <c r="N211" s="35"/>
    </row>
    <row r="212" spans="1:14" s="7" customFormat="1" ht="15.6" x14ac:dyDescent="0.25">
      <c r="A212" s="33" t="s">
        <v>148</v>
      </c>
      <c r="B212" s="17">
        <v>992</v>
      </c>
      <c r="C212" s="34" t="s">
        <v>149</v>
      </c>
      <c r="D212" s="17" t="s">
        <v>154</v>
      </c>
      <c r="E212" s="41" t="s">
        <v>27</v>
      </c>
      <c r="F212" s="20">
        <f>F213+F246</f>
        <v>10901097.439999999</v>
      </c>
      <c r="G212" s="20">
        <f t="shared" ref="G212:H212" si="131">G213+G246</f>
        <v>23422515.48</v>
      </c>
      <c r="H212" s="20">
        <f t="shared" si="131"/>
        <v>9712161.0399999991</v>
      </c>
      <c r="I212" s="20">
        <f t="shared" si="122"/>
        <v>13710354.439999999</v>
      </c>
      <c r="J212" s="20">
        <f t="shared" si="123"/>
        <v>89.09</v>
      </c>
      <c r="K212" s="20">
        <f t="shared" si="124"/>
        <v>41.47</v>
      </c>
      <c r="L212" s="20"/>
      <c r="M212" s="35"/>
      <c r="N212" s="35"/>
    </row>
    <row r="213" spans="1:14" s="9" customFormat="1" ht="62.4" x14ac:dyDescent="0.3">
      <c r="A213" s="43" t="s">
        <v>567</v>
      </c>
      <c r="B213" s="17">
        <v>992</v>
      </c>
      <c r="C213" s="34" t="s">
        <v>149</v>
      </c>
      <c r="D213" s="17" t="s">
        <v>170</v>
      </c>
      <c r="E213" s="34" t="s">
        <v>27</v>
      </c>
      <c r="F213" s="20">
        <f>F214</f>
        <v>10901097.439999999</v>
      </c>
      <c r="G213" s="20">
        <f>G214+G242</f>
        <v>17247935.239999998</v>
      </c>
      <c r="H213" s="20">
        <f>H214+H242</f>
        <v>3537580.8</v>
      </c>
      <c r="I213" s="20">
        <f>$G213-$H213</f>
        <v>13710354.439999999</v>
      </c>
      <c r="J213" s="20">
        <f t="shared" si="123"/>
        <v>32.450000000000003</v>
      </c>
      <c r="K213" s="20">
        <f t="shared" si="124"/>
        <v>20.51</v>
      </c>
      <c r="L213" s="20"/>
      <c r="M213" s="35"/>
      <c r="N213" s="35"/>
    </row>
    <row r="214" spans="1:14" s="9" customFormat="1" ht="46.8" x14ac:dyDescent="0.3">
      <c r="A214" s="62" t="s">
        <v>390</v>
      </c>
      <c r="B214" s="17">
        <v>992</v>
      </c>
      <c r="C214" s="34" t="s">
        <v>149</v>
      </c>
      <c r="D214" s="36" t="s">
        <v>197</v>
      </c>
      <c r="E214" s="41" t="s">
        <v>27</v>
      </c>
      <c r="F214" s="24">
        <f>F215+F220+F231+F234+F237</f>
        <v>10901097.439999999</v>
      </c>
      <c r="G214" s="24">
        <f t="shared" ref="G214:H214" si="132">G215+G220+G231+G234+G237</f>
        <v>16523993.689999999</v>
      </c>
      <c r="H214" s="24">
        <f t="shared" si="132"/>
        <v>3537580.8</v>
      </c>
      <c r="I214" s="24">
        <f t="shared" si="122"/>
        <v>12986412.890000001</v>
      </c>
      <c r="J214" s="24">
        <f t="shared" si="123"/>
        <v>32.450000000000003</v>
      </c>
      <c r="K214" s="24">
        <f t="shared" si="124"/>
        <v>21.41</v>
      </c>
      <c r="L214" s="24"/>
      <c r="M214" s="35"/>
      <c r="N214" s="35"/>
    </row>
    <row r="215" spans="1:14" s="9" customFormat="1" ht="46.8" x14ac:dyDescent="0.3">
      <c r="A215" s="62" t="s">
        <v>583</v>
      </c>
      <c r="B215" s="17">
        <v>992</v>
      </c>
      <c r="C215" s="34" t="s">
        <v>149</v>
      </c>
      <c r="D215" s="36" t="s">
        <v>198</v>
      </c>
      <c r="E215" s="41" t="s">
        <v>27</v>
      </c>
      <c r="F215" s="24">
        <f>F216+F218</f>
        <v>0</v>
      </c>
      <c r="G215" s="24">
        <f t="shared" ref="G215:H215" si="133">G216+G218</f>
        <v>0</v>
      </c>
      <c r="H215" s="24">
        <f t="shared" si="133"/>
        <v>0</v>
      </c>
      <c r="I215" s="24">
        <f t="shared" si="122"/>
        <v>0</v>
      </c>
      <c r="J215" s="24" t="s">
        <v>668</v>
      </c>
      <c r="K215" s="24" t="s">
        <v>668</v>
      </c>
      <c r="L215" s="24"/>
      <c r="M215" s="35"/>
      <c r="N215" s="35"/>
    </row>
    <row r="216" spans="1:14" s="7" customFormat="1" ht="31.2" outlineLevel="5" x14ac:dyDescent="0.25">
      <c r="A216" s="43" t="s">
        <v>394</v>
      </c>
      <c r="B216" s="17">
        <v>992</v>
      </c>
      <c r="C216" s="44" t="s">
        <v>149</v>
      </c>
      <c r="D216" s="36" t="s">
        <v>581</v>
      </c>
      <c r="E216" s="47" t="s">
        <v>27</v>
      </c>
      <c r="F216" s="20">
        <f>F217</f>
        <v>0</v>
      </c>
      <c r="G216" s="20">
        <f t="shared" ref="G216:H216" si="134">G217</f>
        <v>0</v>
      </c>
      <c r="H216" s="20">
        <f t="shared" si="134"/>
        <v>0</v>
      </c>
      <c r="I216" s="20">
        <f t="shared" si="122"/>
        <v>0</v>
      </c>
      <c r="J216" s="20" t="s">
        <v>668</v>
      </c>
      <c r="K216" s="20" t="s">
        <v>668</v>
      </c>
      <c r="L216" s="20"/>
      <c r="M216" s="35"/>
      <c r="N216" s="35"/>
    </row>
    <row r="217" spans="1:14" s="7" customFormat="1" ht="31.2" outlineLevel="5" x14ac:dyDescent="0.25">
      <c r="A217" s="49" t="s">
        <v>125</v>
      </c>
      <c r="B217" s="17">
        <v>992</v>
      </c>
      <c r="C217" s="44" t="s">
        <v>149</v>
      </c>
      <c r="D217" s="36" t="s">
        <v>581</v>
      </c>
      <c r="E217" s="47" t="s">
        <v>126</v>
      </c>
      <c r="F217" s="20">
        <v>0</v>
      </c>
      <c r="G217" s="20">
        <f t="shared" ref="G217:H217" si="135">288213.5-288213.5</f>
        <v>0</v>
      </c>
      <c r="H217" s="20">
        <f t="shared" si="135"/>
        <v>0</v>
      </c>
      <c r="I217" s="20">
        <f t="shared" si="122"/>
        <v>0</v>
      </c>
      <c r="J217" s="20" t="s">
        <v>668</v>
      </c>
      <c r="K217" s="20" t="s">
        <v>668</v>
      </c>
      <c r="L217" s="20"/>
      <c r="M217" s="35"/>
      <c r="N217" s="35"/>
    </row>
    <row r="218" spans="1:14" s="7" customFormat="1" ht="93.6" outlineLevel="5" x14ac:dyDescent="0.25">
      <c r="A218" s="62" t="s">
        <v>395</v>
      </c>
      <c r="B218" s="17">
        <v>992</v>
      </c>
      <c r="C218" s="44" t="s">
        <v>149</v>
      </c>
      <c r="D218" s="36" t="s">
        <v>582</v>
      </c>
      <c r="E218" s="47" t="s">
        <v>27</v>
      </c>
      <c r="F218" s="24">
        <f>F219</f>
        <v>0</v>
      </c>
      <c r="G218" s="24">
        <f t="shared" ref="G218:H218" si="136">G219</f>
        <v>0</v>
      </c>
      <c r="H218" s="24">
        <f t="shared" si="136"/>
        <v>0</v>
      </c>
      <c r="I218" s="24">
        <f t="shared" si="122"/>
        <v>0</v>
      </c>
      <c r="J218" s="24" t="s">
        <v>668</v>
      </c>
      <c r="K218" s="24" t="s">
        <v>668</v>
      </c>
      <c r="L218" s="24"/>
      <c r="M218" s="35"/>
      <c r="N218" s="35"/>
    </row>
    <row r="219" spans="1:14" s="7" customFormat="1" ht="46.8" outlineLevel="5" x14ac:dyDescent="0.25">
      <c r="A219" s="33" t="s">
        <v>392</v>
      </c>
      <c r="B219" s="17">
        <v>992</v>
      </c>
      <c r="C219" s="44" t="s">
        <v>149</v>
      </c>
      <c r="D219" s="36" t="s">
        <v>582</v>
      </c>
      <c r="E219" s="47" t="s">
        <v>133</v>
      </c>
      <c r="F219" s="24">
        <v>0</v>
      </c>
      <c r="G219" s="24">
        <v>0</v>
      </c>
      <c r="H219" s="24">
        <v>0</v>
      </c>
      <c r="I219" s="24">
        <f t="shared" si="122"/>
        <v>0</v>
      </c>
      <c r="J219" s="24" t="s">
        <v>668</v>
      </c>
      <c r="K219" s="24" t="s">
        <v>668</v>
      </c>
      <c r="L219" s="24"/>
      <c r="M219" s="35"/>
      <c r="N219" s="35"/>
    </row>
    <row r="220" spans="1:14" s="9" customFormat="1" ht="31.2" x14ac:dyDescent="0.3">
      <c r="A220" s="62" t="s">
        <v>605</v>
      </c>
      <c r="B220" s="17">
        <v>992</v>
      </c>
      <c r="C220" s="34" t="s">
        <v>149</v>
      </c>
      <c r="D220" s="36" t="s">
        <v>596</v>
      </c>
      <c r="E220" s="41" t="s">
        <v>27</v>
      </c>
      <c r="F220" s="24">
        <f>F221+F223+F225+F227+F229</f>
        <v>6223199.0499999998</v>
      </c>
      <c r="G220" s="24">
        <f t="shared" ref="G220:H220" si="137">G221+G223+G225+G227+G229</f>
        <v>9568269.3000000007</v>
      </c>
      <c r="H220" s="24">
        <f t="shared" si="137"/>
        <v>1645744.53</v>
      </c>
      <c r="I220" s="24">
        <f t="shared" si="122"/>
        <v>7922524.7699999996</v>
      </c>
      <c r="J220" s="24">
        <f t="shared" si="123"/>
        <v>26.45</v>
      </c>
      <c r="K220" s="24">
        <f t="shared" si="124"/>
        <v>17.2</v>
      </c>
      <c r="L220" s="24"/>
      <c r="M220" s="35"/>
      <c r="N220" s="35"/>
    </row>
    <row r="221" spans="1:14" s="7" customFormat="1" ht="31.2" x14ac:dyDescent="0.25">
      <c r="A221" s="57" t="s">
        <v>597</v>
      </c>
      <c r="B221" s="17">
        <v>992</v>
      </c>
      <c r="C221" s="34" t="s">
        <v>149</v>
      </c>
      <c r="D221" s="17" t="s">
        <v>601</v>
      </c>
      <c r="E221" s="41" t="s">
        <v>27</v>
      </c>
      <c r="F221" s="24">
        <f>F222</f>
        <v>1600000</v>
      </c>
      <c r="G221" s="24">
        <f t="shared" ref="G221:H221" si="138">G222</f>
        <v>1600000</v>
      </c>
      <c r="H221" s="24">
        <f t="shared" si="138"/>
        <v>0</v>
      </c>
      <c r="I221" s="24">
        <f t="shared" si="122"/>
        <v>1600000</v>
      </c>
      <c r="J221" s="24">
        <f t="shared" si="123"/>
        <v>0</v>
      </c>
      <c r="K221" s="24">
        <f t="shared" si="124"/>
        <v>0</v>
      </c>
      <c r="L221" s="24"/>
      <c r="M221" s="35"/>
      <c r="N221" s="35"/>
    </row>
    <row r="222" spans="1:14" s="7" customFormat="1" ht="31.2" x14ac:dyDescent="0.25">
      <c r="A222" s="33" t="s">
        <v>125</v>
      </c>
      <c r="B222" s="17">
        <v>992</v>
      </c>
      <c r="C222" s="34" t="s">
        <v>149</v>
      </c>
      <c r="D222" s="17" t="s">
        <v>601</v>
      </c>
      <c r="E222" s="41" t="s">
        <v>126</v>
      </c>
      <c r="F222" s="24">
        <v>1600000</v>
      </c>
      <c r="G222" s="24">
        <v>1600000</v>
      </c>
      <c r="H222" s="24">
        <v>0</v>
      </c>
      <c r="I222" s="24">
        <f t="shared" si="122"/>
        <v>1600000</v>
      </c>
      <c r="J222" s="24">
        <f t="shared" si="123"/>
        <v>0</v>
      </c>
      <c r="K222" s="24">
        <f t="shared" si="124"/>
        <v>0</v>
      </c>
      <c r="L222" s="24"/>
      <c r="M222" s="35"/>
      <c r="N222" s="35"/>
    </row>
    <row r="223" spans="1:14" s="7" customFormat="1" ht="46.8" x14ac:dyDescent="0.25">
      <c r="A223" s="57" t="s">
        <v>598</v>
      </c>
      <c r="B223" s="17">
        <v>992</v>
      </c>
      <c r="C223" s="34" t="s">
        <v>149</v>
      </c>
      <c r="D223" s="17" t="s">
        <v>602</v>
      </c>
      <c r="E223" s="41" t="s">
        <v>27</v>
      </c>
      <c r="F223" s="24">
        <f>F224</f>
        <v>2223199.0499999998</v>
      </c>
      <c r="G223" s="24">
        <f t="shared" ref="G223:H223" si="139">G224</f>
        <v>2223199.0499999998</v>
      </c>
      <c r="H223" s="24">
        <f t="shared" si="139"/>
        <v>1201313.46</v>
      </c>
      <c r="I223" s="24">
        <f t="shared" si="122"/>
        <v>1021885.59</v>
      </c>
      <c r="J223" s="24">
        <f t="shared" si="123"/>
        <v>54.04</v>
      </c>
      <c r="K223" s="24">
        <f t="shared" si="124"/>
        <v>54.04</v>
      </c>
      <c r="L223" s="24"/>
      <c r="M223" s="35"/>
      <c r="N223" s="35"/>
    </row>
    <row r="224" spans="1:14" s="7" customFormat="1" ht="31.2" x14ac:dyDescent="0.25">
      <c r="A224" s="33" t="s">
        <v>125</v>
      </c>
      <c r="B224" s="17">
        <v>992</v>
      </c>
      <c r="C224" s="34" t="s">
        <v>149</v>
      </c>
      <c r="D224" s="17" t="s">
        <v>602</v>
      </c>
      <c r="E224" s="41" t="s">
        <v>126</v>
      </c>
      <c r="F224" s="24">
        <v>2223199.0499999998</v>
      </c>
      <c r="G224" s="24">
        <v>2223199.0499999998</v>
      </c>
      <c r="H224" s="24">
        <v>1201313.46</v>
      </c>
      <c r="I224" s="24">
        <f t="shared" si="122"/>
        <v>1021885.59</v>
      </c>
      <c r="J224" s="24">
        <f t="shared" si="123"/>
        <v>54.04</v>
      </c>
      <c r="K224" s="24">
        <f t="shared" si="124"/>
        <v>54.04</v>
      </c>
      <c r="L224" s="24"/>
      <c r="M224" s="35"/>
      <c r="N224" s="35"/>
    </row>
    <row r="225" spans="1:14" s="7" customFormat="1" ht="31.2" x14ac:dyDescent="0.25">
      <c r="A225" s="57" t="s">
        <v>599</v>
      </c>
      <c r="B225" s="17">
        <v>992</v>
      </c>
      <c r="C225" s="34" t="s">
        <v>149</v>
      </c>
      <c r="D225" s="17" t="s">
        <v>603</v>
      </c>
      <c r="E225" s="41" t="s">
        <v>27</v>
      </c>
      <c r="F225" s="24">
        <f>F226</f>
        <v>1500000</v>
      </c>
      <c r="G225" s="24">
        <f t="shared" ref="G225:H225" si="140">G226</f>
        <v>1885000</v>
      </c>
      <c r="H225" s="24">
        <f t="shared" si="140"/>
        <v>354949.24</v>
      </c>
      <c r="I225" s="24">
        <f t="shared" si="122"/>
        <v>1530050.76</v>
      </c>
      <c r="J225" s="24">
        <f t="shared" si="123"/>
        <v>23.66</v>
      </c>
      <c r="K225" s="24">
        <f t="shared" si="124"/>
        <v>18.829999999999998</v>
      </c>
      <c r="L225" s="24"/>
      <c r="M225" s="35"/>
      <c r="N225" s="35"/>
    </row>
    <row r="226" spans="1:14" s="7" customFormat="1" ht="31.2" x14ac:dyDescent="0.25">
      <c r="A226" s="33" t="s">
        <v>125</v>
      </c>
      <c r="B226" s="17">
        <v>992</v>
      </c>
      <c r="C226" s="34" t="s">
        <v>149</v>
      </c>
      <c r="D226" s="17" t="s">
        <v>603</v>
      </c>
      <c r="E226" s="41" t="s">
        <v>126</v>
      </c>
      <c r="F226" s="24">
        <f>1500000</f>
        <v>1500000</v>
      </c>
      <c r="G226" s="24">
        <f t="shared" ref="G226" si="141">1500000+385000</f>
        <v>1885000</v>
      </c>
      <c r="H226" s="24">
        <v>354949.24</v>
      </c>
      <c r="I226" s="24">
        <f t="shared" si="122"/>
        <v>1530050.76</v>
      </c>
      <c r="J226" s="24">
        <f t="shared" si="123"/>
        <v>23.66</v>
      </c>
      <c r="K226" s="24">
        <f t="shared" si="124"/>
        <v>18.829999999999998</v>
      </c>
      <c r="L226" s="24"/>
      <c r="M226" s="35"/>
      <c r="N226" s="35"/>
    </row>
    <row r="227" spans="1:14" s="7" customFormat="1" ht="15.6" x14ac:dyDescent="0.25">
      <c r="A227" s="57" t="s">
        <v>600</v>
      </c>
      <c r="B227" s="17">
        <v>992</v>
      </c>
      <c r="C227" s="34" t="s">
        <v>149</v>
      </c>
      <c r="D227" s="17" t="s">
        <v>604</v>
      </c>
      <c r="E227" s="41" t="s">
        <v>27</v>
      </c>
      <c r="F227" s="24">
        <f>F228</f>
        <v>900000</v>
      </c>
      <c r="G227" s="24">
        <f t="shared" ref="G227:H227" si="142">G228</f>
        <v>988950.25</v>
      </c>
      <c r="H227" s="24">
        <f t="shared" si="142"/>
        <v>89481.83</v>
      </c>
      <c r="I227" s="24">
        <f t="shared" si="122"/>
        <v>899468.42</v>
      </c>
      <c r="J227" s="24">
        <f t="shared" si="123"/>
        <v>9.94</v>
      </c>
      <c r="K227" s="24">
        <f t="shared" si="124"/>
        <v>9.0500000000000007</v>
      </c>
      <c r="L227" s="24"/>
      <c r="M227" s="35"/>
      <c r="N227" s="35"/>
    </row>
    <row r="228" spans="1:14" s="7" customFormat="1" ht="31.2" x14ac:dyDescent="0.25">
      <c r="A228" s="33" t="s">
        <v>125</v>
      </c>
      <c r="B228" s="17">
        <v>992</v>
      </c>
      <c r="C228" s="34" t="s">
        <v>149</v>
      </c>
      <c r="D228" s="17" t="s">
        <v>604</v>
      </c>
      <c r="E228" s="41" t="s">
        <v>126</v>
      </c>
      <c r="F228" s="24">
        <f>900000</f>
        <v>900000</v>
      </c>
      <c r="G228" s="24">
        <v>988950.25</v>
      </c>
      <c r="H228" s="24">
        <v>89481.83</v>
      </c>
      <c r="I228" s="24">
        <f t="shared" si="122"/>
        <v>899468.42</v>
      </c>
      <c r="J228" s="24">
        <f t="shared" si="123"/>
        <v>9.94</v>
      </c>
      <c r="K228" s="24">
        <f t="shared" si="124"/>
        <v>9.0500000000000007</v>
      </c>
      <c r="L228" s="24"/>
      <c r="M228" s="35"/>
      <c r="N228" s="35"/>
    </row>
    <row r="229" spans="1:14" s="7" customFormat="1" ht="62.4" x14ac:dyDescent="0.25">
      <c r="A229" s="57" t="s">
        <v>634</v>
      </c>
      <c r="B229" s="17">
        <v>992</v>
      </c>
      <c r="C229" s="34" t="s">
        <v>149</v>
      </c>
      <c r="D229" s="17" t="s">
        <v>618</v>
      </c>
      <c r="E229" s="41" t="s">
        <v>27</v>
      </c>
      <c r="F229" s="24">
        <f>F230</f>
        <v>0</v>
      </c>
      <c r="G229" s="24">
        <f t="shared" ref="G229:H229" si="143">G230</f>
        <v>2871120</v>
      </c>
      <c r="H229" s="24">
        <f t="shared" si="143"/>
        <v>0</v>
      </c>
      <c r="I229" s="24">
        <f t="shared" si="122"/>
        <v>2871120</v>
      </c>
      <c r="J229" s="24" t="s">
        <v>668</v>
      </c>
      <c r="K229" s="24">
        <f t="shared" si="124"/>
        <v>0</v>
      </c>
      <c r="L229" s="24"/>
      <c r="M229" s="35"/>
      <c r="N229" s="35"/>
    </row>
    <row r="230" spans="1:14" s="7" customFormat="1" ht="46.8" x14ac:dyDescent="0.25">
      <c r="A230" s="33" t="s">
        <v>111</v>
      </c>
      <c r="B230" s="17">
        <v>992</v>
      </c>
      <c r="C230" s="34" t="s">
        <v>149</v>
      </c>
      <c r="D230" s="17" t="s">
        <v>618</v>
      </c>
      <c r="E230" s="41" t="s">
        <v>89</v>
      </c>
      <c r="F230" s="24">
        <v>0</v>
      </c>
      <c r="G230" s="24">
        <f t="shared" ref="G230" si="144">0+2871120</f>
        <v>2871120</v>
      </c>
      <c r="H230" s="24">
        <v>0</v>
      </c>
      <c r="I230" s="24">
        <f t="shared" si="122"/>
        <v>2871120</v>
      </c>
      <c r="J230" s="24" t="s">
        <v>668</v>
      </c>
      <c r="K230" s="24">
        <f t="shared" si="124"/>
        <v>0</v>
      </c>
      <c r="L230" s="24"/>
      <c r="M230" s="35"/>
      <c r="N230" s="35"/>
    </row>
    <row r="231" spans="1:14" s="9" customFormat="1" ht="31.2" x14ac:dyDescent="0.3">
      <c r="A231" s="62" t="s">
        <v>606</v>
      </c>
      <c r="B231" s="17">
        <v>992</v>
      </c>
      <c r="C231" s="34" t="s">
        <v>149</v>
      </c>
      <c r="D231" s="36" t="s">
        <v>574</v>
      </c>
      <c r="E231" s="41" t="s">
        <v>27</v>
      </c>
      <c r="F231" s="24">
        <f>F232</f>
        <v>1800000</v>
      </c>
      <c r="G231" s="24">
        <f t="shared" ref="G231:H232" si="145">G232</f>
        <v>2800000</v>
      </c>
      <c r="H231" s="24">
        <f t="shared" si="145"/>
        <v>1113127.6000000001</v>
      </c>
      <c r="I231" s="24">
        <f t="shared" si="122"/>
        <v>1686872.4</v>
      </c>
      <c r="J231" s="24">
        <f t="shared" si="123"/>
        <v>61.84</v>
      </c>
      <c r="K231" s="24">
        <f t="shared" si="124"/>
        <v>39.75</v>
      </c>
      <c r="L231" s="24"/>
      <c r="M231" s="35"/>
      <c r="N231" s="35"/>
    </row>
    <row r="232" spans="1:14" s="7" customFormat="1" ht="46.8" outlineLevel="5" x14ac:dyDescent="0.25">
      <c r="A232" s="62" t="s">
        <v>439</v>
      </c>
      <c r="B232" s="17">
        <v>992</v>
      </c>
      <c r="C232" s="34" t="s">
        <v>149</v>
      </c>
      <c r="D232" s="48" t="s">
        <v>584</v>
      </c>
      <c r="E232" s="41" t="s">
        <v>27</v>
      </c>
      <c r="F232" s="24">
        <f>F233</f>
        <v>1800000</v>
      </c>
      <c r="G232" s="24">
        <f t="shared" si="145"/>
        <v>2800000</v>
      </c>
      <c r="H232" s="24">
        <f t="shared" si="145"/>
        <v>1113127.6000000001</v>
      </c>
      <c r="I232" s="24">
        <f t="shared" si="122"/>
        <v>1686872.4</v>
      </c>
      <c r="J232" s="24">
        <f t="shared" si="123"/>
        <v>61.84</v>
      </c>
      <c r="K232" s="24">
        <f t="shared" si="124"/>
        <v>39.75</v>
      </c>
      <c r="L232" s="24"/>
      <c r="M232" s="35"/>
      <c r="N232" s="35"/>
    </row>
    <row r="233" spans="1:14" s="7" customFormat="1" ht="46.8" outlineLevel="5" x14ac:dyDescent="0.25">
      <c r="A233" s="30" t="s">
        <v>111</v>
      </c>
      <c r="B233" s="17">
        <v>992</v>
      </c>
      <c r="C233" s="34" t="s">
        <v>149</v>
      </c>
      <c r="D233" s="48" t="s">
        <v>584</v>
      </c>
      <c r="E233" s="41" t="s">
        <v>89</v>
      </c>
      <c r="F233" s="24">
        <f>1800000</f>
        <v>1800000</v>
      </c>
      <c r="G233" s="24">
        <f t="shared" ref="G233" si="146">1800000+1000000</f>
        <v>2800000</v>
      </c>
      <c r="H233" s="24">
        <v>1113127.6000000001</v>
      </c>
      <c r="I233" s="24">
        <f t="shared" si="122"/>
        <v>1686872.4</v>
      </c>
      <c r="J233" s="24">
        <f t="shared" si="123"/>
        <v>61.84</v>
      </c>
      <c r="K233" s="24">
        <f t="shared" si="124"/>
        <v>39.75</v>
      </c>
      <c r="L233" s="24"/>
      <c r="M233" s="35"/>
      <c r="N233" s="35"/>
    </row>
    <row r="234" spans="1:14" s="9" customFormat="1" ht="31.2" x14ac:dyDescent="0.3">
      <c r="A234" s="62" t="s">
        <v>590</v>
      </c>
      <c r="B234" s="17">
        <v>992</v>
      </c>
      <c r="C234" s="34" t="s">
        <v>149</v>
      </c>
      <c r="D234" s="36" t="s">
        <v>585</v>
      </c>
      <c r="E234" s="41" t="s">
        <v>27</v>
      </c>
      <c r="F234" s="24">
        <f>F235</f>
        <v>950000</v>
      </c>
      <c r="G234" s="24">
        <f t="shared" ref="G234:H235" si="147">G235</f>
        <v>2227826</v>
      </c>
      <c r="H234" s="24">
        <f t="shared" si="147"/>
        <v>778708.67</v>
      </c>
      <c r="I234" s="24">
        <f t="shared" si="122"/>
        <v>1449117.33</v>
      </c>
      <c r="J234" s="24">
        <f t="shared" si="123"/>
        <v>81.97</v>
      </c>
      <c r="K234" s="24">
        <f t="shared" si="124"/>
        <v>34.950000000000003</v>
      </c>
      <c r="L234" s="24"/>
      <c r="M234" s="35"/>
      <c r="N234" s="35"/>
    </row>
    <row r="235" spans="1:14" s="7" customFormat="1" ht="31.2" x14ac:dyDescent="0.25">
      <c r="A235" s="57" t="s">
        <v>500</v>
      </c>
      <c r="B235" s="17">
        <v>992</v>
      </c>
      <c r="C235" s="34" t="s">
        <v>149</v>
      </c>
      <c r="D235" s="17" t="s">
        <v>589</v>
      </c>
      <c r="E235" s="41" t="s">
        <v>27</v>
      </c>
      <c r="F235" s="24">
        <f>F236</f>
        <v>950000</v>
      </c>
      <c r="G235" s="24">
        <f t="shared" si="147"/>
        <v>2227826</v>
      </c>
      <c r="H235" s="24">
        <f t="shared" si="147"/>
        <v>778708.67</v>
      </c>
      <c r="I235" s="24">
        <f t="shared" si="122"/>
        <v>1449117.33</v>
      </c>
      <c r="J235" s="24">
        <f t="shared" si="123"/>
        <v>81.97</v>
      </c>
      <c r="K235" s="24">
        <f t="shared" si="124"/>
        <v>34.950000000000003</v>
      </c>
      <c r="L235" s="24"/>
      <c r="M235" s="35"/>
      <c r="N235" s="35"/>
    </row>
    <row r="236" spans="1:14" s="7" customFormat="1" ht="31.2" x14ac:dyDescent="0.25">
      <c r="A236" s="33" t="s">
        <v>125</v>
      </c>
      <c r="B236" s="17">
        <v>992</v>
      </c>
      <c r="C236" s="34" t="s">
        <v>149</v>
      </c>
      <c r="D236" s="17" t="s">
        <v>589</v>
      </c>
      <c r="E236" s="41" t="s">
        <v>126</v>
      </c>
      <c r="F236" s="24">
        <f>950000</f>
        <v>950000</v>
      </c>
      <c r="G236" s="24">
        <f t="shared" ref="G236" si="148">950000+1277826</f>
        <v>2227826</v>
      </c>
      <c r="H236" s="24">
        <v>778708.67</v>
      </c>
      <c r="I236" s="24">
        <f t="shared" si="122"/>
        <v>1449117.33</v>
      </c>
      <c r="J236" s="24">
        <f t="shared" si="123"/>
        <v>81.97</v>
      </c>
      <c r="K236" s="24">
        <f t="shared" si="124"/>
        <v>34.950000000000003</v>
      </c>
      <c r="L236" s="24"/>
      <c r="M236" s="35"/>
      <c r="N236" s="35"/>
    </row>
    <row r="237" spans="1:14" s="7" customFormat="1" ht="31.2" x14ac:dyDescent="0.25">
      <c r="A237" s="43" t="s">
        <v>588</v>
      </c>
      <c r="B237" s="17">
        <v>992</v>
      </c>
      <c r="C237" s="34" t="s">
        <v>149</v>
      </c>
      <c r="D237" s="17" t="s">
        <v>586</v>
      </c>
      <c r="E237" s="41" t="s">
        <v>27</v>
      </c>
      <c r="F237" s="24">
        <f>F238+F240</f>
        <v>1927898.39</v>
      </c>
      <c r="G237" s="24">
        <f t="shared" ref="G237:H237" si="149">G238+G240</f>
        <v>1927898.39</v>
      </c>
      <c r="H237" s="24">
        <f t="shared" si="149"/>
        <v>0</v>
      </c>
      <c r="I237" s="24">
        <f t="shared" si="122"/>
        <v>1927898.39</v>
      </c>
      <c r="J237" s="24">
        <f t="shared" si="123"/>
        <v>0</v>
      </c>
      <c r="K237" s="24">
        <f t="shared" si="124"/>
        <v>0</v>
      </c>
      <c r="L237" s="24"/>
      <c r="M237" s="35"/>
      <c r="N237" s="35"/>
    </row>
    <row r="238" spans="1:14" s="7" customFormat="1" ht="46.8" x14ac:dyDescent="0.25">
      <c r="A238" s="43" t="s">
        <v>199</v>
      </c>
      <c r="B238" s="17">
        <v>992</v>
      </c>
      <c r="C238" s="34" t="s">
        <v>149</v>
      </c>
      <c r="D238" s="36" t="s">
        <v>587</v>
      </c>
      <c r="E238" s="41" t="s">
        <v>27</v>
      </c>
      <c r="F238" s="24">
        <f>F239</f>
        <v>1584438.39</v>
      </c>
      <c r="G238" s="24">
        <f t="shared" ref="G238:H238" si="150">G239</f>
        <v>1584438.39</v>
      </c>
      <c r="H238" s="24">
        <f t="shared" si="150"/>
        <v>0</v>
      </c>
      <c r="I238" s="24">
        <f t="shared" si="122"/>
        <v>1584438.39</v>
      </c>
      <c r="J238" s="24">
        <f t="shared" si="123"/>
        <v>0</v>
      </c>
      <c r="K238" s="24">
        <f t="shared" si="124"/>
        <v>0</v>
      </c>
      <c r="L238" s="24"/>
      <c r="M238" s="35"/>
      <c r="N238" s="35"/>
    </row>
    <row r="239" spans="1:14" s="7" customFormat="1" ht="46.8" x14ac:dyDescent="0.25">
      <c r="A239" s="30" t="s">
        <v>111</v>
      </c>
      <c r="B239" s="17">
        <v>992</v>
      </c>
      <c r="C239" s="34" t="s">
        <v>149</v>
      </c>
      <c r="D239" s="36" t="s">
        <v>587</v>
      </c>
      <c r="E239" s="41" t="s">
        <v>89</v>
      </c>
      <c r="F239" s="24">
        <v>1584438.39</v>
      </c>
      <c r="G239" s="24">
        <v>1584438.39</v>
      </c>
      <c r="H239" s="24">
        <v>0</v>
      </c>
      <c r="I239" s="24">
        <f t="shared" si="122"/>
        <v>1584438.39</v>
      </c>
      <c r="J239" s="24">
        <f t="shared" si="123"/>
        <v>0</v>
      </c>
      <c r="K239" s="24">
        <f t="shared" si="124"/>
        <v>0</v>
      </c>
      <c r="L239" s="24"/>
      <c r="M239" s="35"/>
      <c r="N239" s="35"/>
    </row>
    <row r="240" spans="1:14" s="7" customFormat="1" ht="62.4" x14ac:dyDescent="0.25">
      <c r="A240" s="43" t="s">
        <v>201</v>
      </c>
      <c r="B240" s="17">
        <v>992</v>
      </c>
      <c r="C240" s="34" t="s">
        <v>149</v>
      </c>
      <c r="D240" s="36" t="s">
        <v>587</v>
      </c>
      <c r="E240" s="41" t="s">
        <v>27</v>
      </c>
      <c r="F240" s="24">
        <f>F241</f>
        <v>343460</v>
      </c>
      <c r="G240" s="24">
        <f t="shared" ref="G240:H240" si="151">G241</f>
        <v>343460</v>
      </c>
      <c r="H240" s="24">
        <f t="shared" si="151"/>
        <v>0</v>
      </c>
      <c r="I240" s="24">
        <f t="shared" si="122"/>
        <v>343460</v>
      </c>
      <c r="J240" s="24">
        <f t="shared" si="123"/>
        <v>0</v>
      </c>
      <c r="K240" s="24">
        <f t="shared" si="124"/>
        <v>0</v>
      </c>
      <c r="L240" s="24"/>
      <c r="M240" s="35"/>
      <c r="N240" s="35"/>
    </row>
    <row r="241" spans="1:14" s="7" customFormat="1" ht="46.8" x14ac:dyDescent="0.25">
      <c r="A241" s="30" t="s">
        <v>111</v>
      </c>
      <c r="B241" s="17">
        <v>992</v>
      </c>
      <c r="C241" s="34" t="s">
        <v>149</v>
      </c>
      <c r="D241" s="36" t="s">
        <v>587</v>
      </c>
      <c r="E241" s="41" t="s">
        <v>89</v>
      </c>
      <c r="F241" s="24">
        <f>83391.49+260068.51</f>
        <v>343460</v>
      </c>
      <c r="G241" s="24">
        <f t="shared" ref="G241" si="152">83391.49+260068.51</f>
        <v>343460</v>
      </c>
      <c r="H241" s="24">
        <v>0</v>
      </c>
      <c r="I241" s="24">
        <f t="shared" si="122"/>
        <v>343460</v>
      </c>
      <c r="J241" s="24">
        <f t="shared" si="123"/>
        <v>0</v>
      </c>
      <c r="K241" s="24">
        <f t="shared" si="124"/>
        <v>0</v>
      </c>
      <c r="L241" s="24"/>
      <c r="M241" s="35"/>
      <c r="N241" s="35"/>
    </row>
    <row r="242" spans="1:14" s="9" customFormat="1" ht="46.8" x14ac:dyDescent="0.3">
      <c r="A242" s="62" t="s">
        <v>390</v>
      </c>
      <c r="B242" s="17">
        <v>992</v>
      </c>
      <c r="C242" s="34" t="s">
        <v>149</v>
      </c>
      <c r="D242" s="36" t="s">
        <v>178</v>
      </c>
      <c r="E242" s="41" t="s">
        <v>27</v>
      </c>
      <c r="F242" s="24">
        <f>F243+F248+F259+F262+F265</f>
        <v>1464695.5</v>
      </c>
      <c r="G242" s="24">
        <f>G243</f>
        <v>723941.55</v>
      </c>
      <c r="H242" s="24">
        <f>H243</f>
        <v>0</v>
      </c>
      <c r="I242" s="24">
        <f t="shared" si="122"/>
        <v>723941.55</v>
      </c>
      <c r="J242" s="24">
        <f t="shared" si="123"/>
        <v>0</v>
      </c>
      <c r="K242" s="24">
        <f t="shared" si="124"/>
        <v>0</v>
      </c>
      <c r="L242" s="24"/>
      <c r="M242" s="35"/>
      <c r="N242" s="35"/>
    </row>
    <row r="243" spans="1:14" s="9" customFormat="1" ht="46.8" x14ac:dyDescent="0.3">
      <c r="A243" s="62" t="s">
        <v>666</v>
      </c>
      <c r="B243" s="17">
        <v>992</v>
      </c>
      <c r="C243" s="34" t="s">
        <v>149</v>
      </c>
      <c r="D243" s="36" t="s">
        <v>393</v>
      </c>
      <c r="E243" s="41" t="s">
        <v>27</v>
      </c>
      <c r="F243" s="24">
        <f>F244+F246</f>
        <v>0</v>
      </c>
      <c r="G243" s="24">
        <f>G244</f>
        <v>723941.55</v>
      </c>
      <c r="H243" s="24">
        <f>H244</f>
        <v>0</v>
      </c>
      <c r="I243" s="24">
        <f t="shared" si="122"/>
        <v>723941.55</v>
      </c>
      <c r="J243" s="24" t="s">
        <v>668</v>
      </c>
      <c r="K243" s="24">
        <f t="shared" si="124"/>
        <v>0</v>
      </c>
      <c r="L243" s="24"/>
      <c r="M243" s="35"/>
      <c r="N243" s="35"/>
    </row>
    <row r="244" spans="1:14" s="7" customFormat="1" ht="46.8" x14ac:dyDescent="0.25">
      <c r="A244" s="43" t="s">
        <v>667</v>
      </c>
      <c r="B244" s="17">
        <v>992</v>
      </c>
      <c r="C244" s="34" t="s">
        <v>149</v>
      </c>
      <c r="D244" s="36" t="s">
        <v>665</v>
      </c>
      <c r="E244" s="41" t="s">
        <v>27</v>
      </c>
      <c r="F244" s="24">
        <f>F245</f>
        <v>0</v>
      </c>
      <c r="G244" s="24">
        <f t="shared" ref="G244" si="153">G245</f>
        <v>723941.55</v>
      </c>
      <c r="H244" s="24">
        <f t="shared" ref="H244" si="154">H245</f>
        <v>0</v>
      </c>
      <c r="I244" s="24">
        <f t="shared" si="122"/>
        <v>723941.55</v>
      </c>
      <c r="J244" s="24" t="s">
        <v>668</v>
      </c>
      <c r="K244" s="24">
        <f t="shared" si="124"/>
        <v>0</v>
      </c>
      <c r="L244" s="24"/>
      <c r="M244" s="35"/>
      <c r="N244" s="35"/>
    </row>
    <row r="245" spans="1:14" s="7" customFormat="1" ht="46.8" x14ac:dyDescent="0.25">
      <c r="A245" s="30" t="s">
        <v>111</v>
      </c>
      <c r="B245" s="17">
        <v>992</v>
      </c>
      <c r="C245" s="34" t="s">
        <v>149</v>
      </c>
      <c r="D245" s="36" t="s">
        <v>665</v>
      </c>
      <c r="E245" s="41" t="s">
        <v>126</v>
      </c>
      <c r="F245" s="24">
        <v>0</v>
      </c>
      <c r="G245" s="24">
        <v>723941.55</v>
      </c>
      <c r="H245" s="24">
        <v>0</v>
      </c>
      <c r="I245" s="24">
        <f t="shared" si="122"/>
        <v>723941.55</v>
      </c>
      <c r="J245" s="24" t="s">
        <v>668</v>
      </c>
      <c r="K245" s="24">
        <f t="shared" si="124"/>
        <v>0</v>
      </c>
      <c r="L245" s="24"/>
      <c r="M245" s="35"/>
      <c r="N245" s="35"/>
    </row>
    <row r="246" spans="1:14" s="9" customFormat="1" ht="46.8" x14ac:dyDescent="0.3">
      <c r="A246" s="50" t="s">
        <v>320</v>
      </c>
      <c r="B246" s="16">
        <v>992</v>
      </c>
      <c r="C246" s="44" t="s">
        <v>149</v>
      </c>
      <c r="D246" s="44" t="s">
        <v>155</v>
      </c>
      <c r="E246" s="44" t="s">
        <v>27</v>
      </c>
      <c r="F246" s="24">
        <f>F247</f>
        <v>0</v>
      </c>
      <c r="G246" s="24">
        <f t="shared" ref="G246:H247" si="155">G247</f>
        <v>6174580.2400000002</v>
      </c>
      <c r="H246" s="24">
        <f t="shared" si="155"/>
        <v>6174580.2400000002</v>
      </c>
      <c r="I246" s="24">
        <f t="shared" si="122"/>
        <v>0</v>
      </c>
      <c r="J246" s="24" t="s">
        <v>668</v>
      </c>
      <c r="K246" s="24">
        <f t="shared" si="124"/>
        <v>100</v>
      </c>
      <c r="L246" s="24"/>
      <c r="M246" s="35"/>
      <c r="N246" s="35"/>
    </row>
    <row r="247" spans="1:14" s="9" customFormat="1" ht="31.2" x14ac:dyDescent="0.3">
      <c r="A247" s="30" t="s">
        <v>318</v>
      </c>
      <c r="B247" s="16">
        <v>992</v>
      </c>
      <c r="C247" s="44" t="s">
        <v>149</v>
      </c>
      <c r="D247" s="44" t="s">
        <v>256</v>
      </c>
      <c r="E247" s="44" t="s">
        <v>27</v>
      </c>
      <c r="F247" s="24">
        <f>F248</f>
        <v>0</v>
      </c>
      <c r="G247" s="24">
        <f t="shared" si="155"/>
        <v>6174580.2400000002</v>
      </c>
      <c r="H247" s="24">
        <f t="shared" si="155"/>
        <v>6174580.2400000002</v>
      </c>
      <c r="I247" s="24">
        <f t="shared" si="122"/>
        <v>0</v>
      </c>
      <c r="J247" s="24" t="s">
        <v>668</v>
      </c>
      <c r="K247" s="24">
        <f t="shared" si="124"/>
        <v>100</v>
      </c>
      <c r="L247" s="24"/>
      <c r="M247" s="35"/>
      <c r="N247" s="35"/>
    </row>
    <row r="248" spans="1:14" s="9" customFormat="1" ht="15.6" x14ac:dyDescent="0.3">
      <c r="A248" s="30" t="s">
        <v>319</v>
      </c>
      <c r="B248" s="16">
        <v>992</v>
      </c>
      <c r="C248" s="44" t="s">
        <v>149</v>
      </c>
      <c r="D248" s="44" t="s">
        <v>253</v>
      </c>
      <c r="E248" s="44" t="s">
        <v>27</v>
      </c>
      <c r="F248" s="24">
        <f>F251+F249</f>
        <v>0</v>
      </c>
      <c r="G248" s="24">
        <f t="shared" ref="G248:H248" si="156">G251+G249</f>
        <v>6174580.2400000002</v>
      </c>
      <c r="H248" s="24">
        <f t="shared" si="156"/>
        <v>6174580.2400000002</v>
      </c>
      <c r="I248" s="24">
        <f t="shared" si="122"/>
        <v>0</v>
      </c>
      <c r="J248" s="24" t="s">
        <v>668</v>
      </c>
      <c r="K248" s="24">
        <f t="shared" si="124"/>
        <v>100</v>
      </c>
      <c r="L248" s="24"/>
      <c r="M248" s="35"/>
      <c r="N248" s="35"/>
    </row>
    <row r="249" spans="1:14" s="7" customFormat="1" ht="31.2" x14ac:dyDescent="0.25">
      <c r="A249" s="30" t="s">
        <v>563</v>
      </c>
      <c r="B249" s="17">
        <v>992</v>
      </c>
      <c r="C249" s="34" t="s">
        <v>149</v>
      </c>
      <c r="D249" s="17" t="s">
        <v>208</v>
      </c>
      <c r="E249" s="34" t="s">
        <v>27</v>
      </c>
      <c r="F249" s="22">
        <f>F250</f>
        <v>0</v>
      </c>
      <c r="G249" s="22">
        <f t="shared" ref="G249:H249" si="157">G250</f>
        <v>3379514</v>
      </c>
      <c r="H249" s="22">
        <f t="shared" si="157"/>
        <v>3379514</v>
      </c>
      <c r="I249" s="22">
        <f t="shared" si="122"/>
        <v>0</v>
      </c>
      <c r="J249" s="22" t="s">
        <v>668</v>
      </c>
      <c r="K249" s="22">
        <f t="shared" si="124"/>
        <v>100</v>
      </c>
      <c r="L249" s="22"/>
      <c r="M249" s="35"/>
      <c r="N249" s="35"/>
    </row>
    <row r="250" spans="1:14" s="7" customFormat="1" ht="31.2" x14ac:dyDescent="0.25">
      <c r="A250" s="30" t="s">
        <v>125</v>
      </c>
      <c r="B250" s="17">
        <v>992</v>
      </c>
      <c r="C250" s="34" t="s">
        <v>149</v>
      </c>
      <c r="D250" s="17" t="s">
        <v>208</v>
      </c>
      <c r="E250" s="17">
        <v>240</v>
      </c>
      <c r="F250" s="22">
        <v>0</v>
      </c>
      <c r="G250" s="22">
        <f t="shared" ref="G250:H250" si="158">0+3379514</f>
        <v>3379514</v>
      </c>
      <c r="H250" s="22">
        <f t="shared" si="158"/>
        <v>3379514</v>
      </c>
      <c r="I250" s="22">
        <f t="shared" si="122"/>
        <v>0</v>
      </c>
      <c r="J250" s="22" t="s">
        <v>668</v>
      </c>
      <c r="K250" s="22">
        <f t="shared" si="124"/>
        <v>100</v>
      </c>
      <c r="L250" s="22"/>
      <c r="M250" s="35"/>
      <c r="N250" s="35"/>
    </row>
    <row r="251" spans="1:14" s="7" customFormat="1" ht="31.2" x14ac:dyDescent="0.25">
      <c r="A251" s="62" t="s">
        <v>617</v>
      </c>
      <c r="B251" s="17">
        <v>992</v>
      </c>
      <c r="C251" s="34" t="s">
        <v>149</v>
      </c>
      <c r="D251" s="17" t="s">
        <v>212</v>
      </c>
      <c r="E251" s="41" t="s">
        <v>27</v>
      </c>
      <c r="F251" s="24">
        <f>F252</f>
        <v>0</v>
      </c>
      <c r="G251" s="24">
        <f t="shared" ref="G251:H251" si="159">G252</f>
        <v>2795066.24</v>
      </c>
      <c r="H251" s="24">
        <f t="shared" si="159"/>
        <v>2795066.24</v>
      </c>
      <c r="I251" s="24">
        <f t="shared" si="122"/>
        <v>0</v>
      </c>
      <c r="J251" s="24" t="s">
        <v>668</v>
      </c>
      <c r="K251" s="24">
        <f t="shared" si="124"/>
        <v>100</v>
      </c>
      <c r="L251" s="24"/>
      <c r="M251" s="35"/>
      <c r="N251" s="35"/>
    </row>
    <row r="252" spans="1:14" s="7" customFormat="1" ht="31.2" x14ac:dyDescent="0.25">
      <c r="A252" s="33" t="s">
        <v>125</v>
      </c>
      <c r="B252" s="17">
        <v>992</v>
      </c>
      <c r="C252" s="34" t="s">
        <v>149</v>
      </c>
      <c r="D252" s="17" t="s">
        <v>212</v>
      </c>
      <c r="E252" s="41" t="s">
        <v>126</v>
      </c>
      <c r="F252" s="24">
        <v>0</v>
      </c>
      <c r="G252" s="24">
        <v>2795066.24</v>
      </c>
      <c r="H252" s="24">
        <v>2795066.24</v>
      </c>
      <c r="I252" s="24">
        <f t="shared" si="122"/>
        <v>0</v>
      </c>
      <c r="J252" s="24" t="s">
        <v>668</v>
      </c>
      <c r="K252" s="24">
        <f t="shared" si="124"/>
        <v>100</v>
      </c>
      <c r="L252" s="24"/>
      <c r="M252" s="35"/>
      <c r="N252" s="35"/>
    </row>
    <row r="253" spans="1:14" s="7" customFormat="1" ht="15.6" x14ac:dyDescent="0.25">
      <c r="A253" s="33" t="s">
        <v>180</v>
      </c>
      <c r="B253" s="17">
        <v>992</v>
      </c>
      <c r="C253" s="34" t="s">
        <v>181</v>
      </c>
      <c r="D253" s="17" t="s">
        <v>154</v>
      </c>
      <c r="E253" s="41" t="s">
        <v>27</v>
      </c>
      <c r="F253" s="20">
        <f>F254+F293</f>
        <v>26064546.620000001</v>
      </c>
      <c r="G253" s="20">
        <f t="shared" ref="G253:H253" si="160">G254+G293</f>
        <v>58244302.549999997</v>
      </c>
      <c r="H253" s="20">
        <f t="shared" si="160"/>
        <v>7773164.3200000003</v>
      </c>
      <c r="I253" s="20">
        <f t="shared" si="122"/>
        <v>50471138.229999997</v>
      </c>
      <c r="J253" s="20">
        <f t="shared" si="123"/>
        <v>29.82</v>
      </c>
      <c r="K253" s="20">
        <f t="shared" si="124"/>
        <v>13.35</v>
      </c>
      <c r="L253" s="20"/>
      <c r="M253" s="35"/>
      <c r="N253" s="35"/>
    </row>
    <row r="254" spans="1:14" s="7" customFormat="1" ht="46.8" x14ac:dyDescent="0.25">
      <c r="A254" s="43" t="s">
        <v>425</v>
      </c>
      <c r="B254" s="17">
        <v>992</v>
      </c>
      <c r="C254" s="34" t="s">
        <v>181</v>
      </c>
      <c r="D254" s="17" t="s">
        <v>225</v>
      </c>
      <c r="E254" s="41" t="s">
        <v>27</v>
      </c>
      <c r="F254" s="24">
        <f>F261+F267+F273+F255</f>
        <v>26064546.620000001</v>
      </c>
      <c r="G254" s="24">
        <f t="shared" ref="G254:H254" si="161">G261+G267+G273+G255</f>
        <v>57499075.43</v>
      </c>
      <c r="H254" s="24">
        <f t="shared" si="161"/>
        <v>7027937.2000000002</v>
      </c>
      <c r="I254" s="24">
        <f t="shared" si="122"/>
        <v>50471138.229999997</v>
      </c>
      <c r="J254" s="24">
        <f t="shared" si="123"/>
        <v>26.96</v>
      </c>
      <c r="K254" s="24">
        <f t="shared" si="124"/>
        <v>12.22</v>
      </c>
      <c r="L254" s="24"/>
      <c r="M254" s="35"/>
      <c r="N254" s="35"/>
    </row>
    <row r="255" spans="1:14" s="7" customFormat="1" ht="46.8" x14ac:dyDescent="0.25">
      <c r="A255" s="43" t="s">
        <v>627</v>
      </c>
      <c r="B255" s="17">
        <v>992</v>
      </c>
      <c r="C255" s="34" t="s">
        <v>181</v>
      </c>
      <c r="D255" s="17" t="s">
        <v>626</v>
      </c>
      <c r="E255" s="41" t="s">
        <v>27</v>
      </c>
      <c r="F255" s="24">
        <f>F256</f>
        <v>0</v>
      </c>
      <c r="G255" s="24">
        <f t="shared" ref="G255:H255" si="162">G256</f>
        <v>5152450.3499999996</v>
      </c>
      <c r="H255" s="24">
        <f t="shared" si="162"/>
        <v>0</v>
      </c>
      <c r="I255" s="24">
        <f t="shared" si="122"/>
        <v>5152450.3499999996</v>
      </c>
      <c r="J255" s="24" t="s">
        <v>668</v>
      </c>
      <c r="K255" s="24">
        <f t="shared" si="124"/>
        <v>0</v>
      </c>
      <c r="L255" s="24"/>
      <c r="M255" s="35"/>
      <c r="N255" s="35"/>
    </row>
    <row r="256" spans="1:14" s="7" customFormat="1" ht="31.2" x14ac:dyDescent="0.25">
      <c r="A256" s="43" t="s">
        <v>628</v>
      </c>
      <c r="B256" s="17">
        <v>992</v>
      </c>
      <c r="C256" s="34" t="s">
        <v>181</v>
      </c>
      <c r="D256" s="17" t="s">
        <v>629</v>
      </c>
      <c r="E256" s="41" t="s">
        <v>27</v>
      </c>
      <c r="F256" s="24">
        <f>F258+F260</f>
        <v>0</v>
      </c>
      <c r="G256" s="24">
        <f t="shared" ref="G256:H256" si="163">G258+G260</f>
        <v>5152450.3499999996</v>
      </c>
      <c r="H256" s="24">
        <f t="shared" si="163"/>
        <v>0</v>
      </c>
      <c r="I256" s="24">
        <f t="shared" si="122"/>
        <v>5152450.3499999996</v>
      </c>
      <c r="J256" s="24" t="s">
        <v>668</v>
      </c>
      <c r="K256" s="24">
        <f t="shared" si="124"/>
        <v>0</v>
      </c>
      <c r="L256" s="24"/>
      <c r="M256" s="35"/>
      <c r="N256" s="35"/>
    </row>
    <row r="257" spans="1:14" s="7" customFormat="1" ht="31.2" x14ac:dyDescent="0.25">
      <c r="A257" s="33" t="s">
        <v>630</v>
      </c>
      <c r="B257" s="17">
        <v>992</v>
      </c>
      <c r="C257" s="34" t="s">
        <v>181</v>
      </c>
      <c r="D257" s="17" t="s">
        <v>631</v>
      </c>
      <c r="E257" s="41" t="s">
        <v>27</v>
      </c>
      <c r="F257" s="24">
        <f>F258</f>
        <v>0</v>
      </c>
      <c r="G257" s="24">
        <f t="shared" ref="G257:H257" si="164">G258</f>
        <v>5126688.09</v>
      </c>
      <c r="H257" s="24">
        <f t="shared" si="164"/>
        <v>0</v>
      </c>
      <c r="I257" s="24">
        <f t="shared" si="122"/>
        <v>5126688.09</v>
      </c>
      <c r="J257" s="24" t="s">
        <v>668</v>
      </c>
      <c r="K257" s="24">
        <f t="shared" si="124"/>
        <v>0</v>
      </c>
      <c r="L257" s="24"/>
      <c r="M257" s="35"/>
      <c r="N257" s="35"/>
    </row>
    <row r="258" spans="1:14" s="7" customFormat="1" ht="31.2" x14ac:dyDescent="0.25">
      <c r="A258" s="33" t="s">
        <v>125</v>
      </c>
      <c r="B258" s="17">
        <v>992</v>
      </c>
      <c r="C258" s="34" t="s">
        <v>181</v>
      </c>
      <c r="D258" s="17" t="s">
        <v>631</v>
      </c>
      <c r="E258" s="41" t="s">
        <v>126</v>
      </c>
      <c r="F258" s="15">
        <v>0</v>
      </c>
      <c r="G258" s="15">
        <v>5126688.09</v>
      </c>
      <c r="H258" s="15">
        <v>0</v>
      </c>
      <c r="I258" s="15">
        <f t="shared" si="122"/>
        <v>5126688.09</v>
      </c>
      <c r="J258" s="15" t="s">
        <v>668</v>
      </c>
      <c r="K258" s="15">
        <f t="shared" si="124"/>
        <v>0</v>
      </c>
      <c r="L258" s="15"/>
      <c r="M258" s="35"/>
      <c r="N258" s="35"/>
    </row>
    <row r="259" spans="1:14" s="7" customFormat="1" ht="46.8" x14ac:dyDescent="0.25">
      <c r="A259" s="33" t="s">
        <v>632</v>
      </c>
      <c r="B259" s="17">
        <v>992</v>
      </c>
      <c r="C259" s="34" t="s">
        <v>181</v>
      </c>
      <c r="D259" s="17" t="s">
        <v>631</v>
      </c>
      <c r="E259" s="41" t="s">
        <v>27</v>
      </c>
      <c r="F259" s="24">
        <f>F260</f>
        <v>0</v>
      </c>
      <c r="G259" s="24">
        <f t="shared" ref="G259:H259" si="165">G260</f>
        <v>25762.26</v>
      </c>
      <c r="H259" s="24">
        <f t="shared" si="165"/>
        <v>0</v>
      </c>
      <c r="I259" s="24">
        <f t="shared" si="122"/>
        <v>25762.26</v>
      </c>
      <c r="J259" s="24" t="s">
        <v>668</v>
      </c>
      <c r="K259" s="24">
        <f t="shared" si="124"/>
        <v>0</v>
      </c>
      <c r="L259" s="24"/>
      <c r="M259" s="35"/>
      <c r="N259" s="35"/>
    </row>
    <row r="260" spans="1:14" s="7" customFormat="1" ht="31.2" x14ac:dyDescent="0.25">
      <c r="A260" s="33" t="s">
        <v>125</v>
      </c>
      <c r="B260" s="17">
        <v>992</v>
      </c>
      <c r="C260" s="34" t="s">
        <v>181</v>
      </c>
      <c r="D260" s="17" t="s">
        <v>631</v>
      </c>
      <c r="E260" s="41" t="s">
        <v>126</v>
      </c>
      <c r="F260" s="24">
        <v>0</v>
      </c>
      <c r="G260" s="24">
        <v>25762.26</v>
      </c>
      <c r="H260" s="24">
        <v>0</v>
      </c>
      <c r="I260" s="24">
        <f t="shared" si="122"/>
        <v>25762.26</v>
      </c>
      <c r="J260" s="24" t="s">
        <v>668</v>
      </c>
      <c r="K260" s="24">
        <f t="shared" si="124"/>
        <v>0</v>
      </c>
      <c r="L260" s="24"/>
      <c r="M260" s="35"/>
      <c r="N260" s="35"/>
    </row>
    <row r="261" spans="1:14" s="7" customFormat="1" ht="46.8" x14ac:dyDescent="0.25">
      <c r="A261" s="43" t="s">
        <v>545</v>
      </c>
      <c r="B261" s="17">
        <v>992</v>
      </c>
      <c r="C261" s="34" t="s">
        <v>181</v>
      </c>
      <c r="D261" s="17" t="s">
        <v>543</v>
      </c>
      <c r="E261" s="41" t="s">
        <v>27</v>
      </c>
      <c r="F261" s="24">
        <f>F262</f>
        <v>732347.75</v>
      </c>
      <c r="G261" s="24">
        <f t="shared" ref="G261:H261" si="166">G262</f>
        <v>109832.57</v>
      </c>
      <c r="H261" s="24">
        <f t="shared" si="166"/>
        <v>0</v>
      </c>
      <c r="I261" s="24">
        <f t="shared" si="122"/>
        <v>109832.57</v>
      </c>
      <c r="J261" s="24">
        <f t="shared" si="123"/>
        <v>0</v>
      </c>
      <c r="K261" s="24">
        <f t="shared" si="124"/>
        <v>0</v>
      </c>
      <c r="L261" s="24"/>
      <c r="M261" s="35"/>
      <c r="N261" s="35"/>
    </row>
    <row r="262" spans="1:14" s="7" customFormat="1" ht="31.2" x14ac:dyDescent="0.25">
      <c r="A262" s="43" t="s">
        <v>555</v>
      </c>
      <c r="B262" s="17">
        <v>992</v>
      </c>
      <c r="C262" s="34" t="s">
        <v>181</v>
      </c>
      <c r="D262" s="17" t="s">
        <v>544</v>
      </c>
      <c r="E262" s="41" t="s">
        <v>27</v>
      </c>
      <c r="F262" s="24">
        <f>F264+F266</f>
        <v>732347.75</v>
      </c>
      <c r="G262" s="24">
        <f t="shared" ref="G262:H262" si="167">G264+G266</f>
        <v>109832.57</v>
      </c>
      <c r="H262" s="24">
        <f t="shared" si="167"/>
        <v>0</v>
      </c>
      <c r="I262" s="24">
        <f t="shared" si="122"/>
        <v>109832.57</v>
      </c>
      <c r="J262" s="24">
        <f t="shared" si="123"/>
        <v>0</v>
      </c>
      <c r="K262" s="24">
        <f t="shared" si="124"/>
        <v>0</v>
      </c>
      <c r="L262" s="24"/>
      <c r="M262" s="35"/>
      <c r="N262" s="35"/>
    </row>
    <row r="263" spans="1:14" s="7" customFormat="1" ht="62.4" x14ac:dyDescent="0.25">
      <c r="A263" s="33" t="s">
        <v>245</v>
      </c>
      <c r="B263" s="17">
        <v>992</v>
      </c>
      <c r="C263" s="34" t="s">
        <v>181</v>
      </c>
      <c r="D263" s="17" t="s">
        <v>554</v>
      </c>
      <c r="E263" s="41" t="s">
        <v>27</v>
      </c>
      <c r="F263" s="24">
        <f>F264</f>
        <v>0</v>
      </c>
      <c r="G263" s="24">
        <f t="shared" ref="G263:H263" si="168">G264</f>
        <v>0</v>
      </c>
      <c r="H263" s="24">
        <f t="shared" si="168"/>
        <v>0</v>
      </c>
      <c r="I263" s="24">
        <f t="shared" si="122"/>
        <v>0</v>
      </c>
      <c r="J263" s="24" t="s">
        <v>668</v>
      </c>
      <c r="K263" s="24" t="s">
        <v>668</v>
      </c>
      <c r="L263" s="24"/>
      <c r="M263" s="35"/>
      <c r="N263" s="35"/>
    </row>
    <row r="264" spans="1:14" s="7" customFormat="1" ht="31.2" x14ac:dyDescent="0.25">
      <c r="A264" s="33" t="s">
        <v>125</v>
      </c>
      <c r="B264" s="17">
        <v>992</v>
      </c>
      <c r="C264" s="34" t="s">
        <v>181</v>
      </c>
      <c r="D264" s="17" t="s">
        <v>554</v>
      </c>
      <c r="E264" s="41" t="s">
        <v>126</v>
      </c>
      <c r="F264" s="15">
        <v>0</v>
      </c>
      <c r="G264" s="15">
        <v>0</v>
      </c>
      <c r="H264" s="15">
        <v>0</v>
      </c>
      <c r="I264" s="15">
        <f t="shared" si="122"/>
        <v>0</v>
      </c>
      <c r="J264" s="15" t="s">
        <v>668</v>
      </c>
      <c r="K264" s="15" t="s">
        <v>668</v>
      </c>
      <c r="L264" s="15"/>
      <c r="M264" s="35"/>
      <c r="N264" s="35"/>
    </row>
    <row r="265" spans="1:14" s="7" customFormat="1" ht="62.4" x14ac:dyDescent="0.25">
      <c r="A265" s="33" t="s">
        <v>246</v>
      </c>
      <c r="B265" s="17">
        <v>992</v>
      </c>
      <c r="C265" s="34" t="s">
        <v>181</v>
      </c>
      <c r="D265" s="17" t="s">
        <v>554</v>
      </c>
      <c r="E265" s="41" t="s">
        <v>27</v>
      </c>
      <c r="F265" s="24">
        <f>F266</f>
        <v>732347.75</v>
      </c>
      <c r="G265" s="24">
        <f t="shared" ref="G265:H265" si="169">G266</f>
        <v>109832.57</v>
      </c>
      <c r="H265" s="24">
        <f t="shared" si="169"/>
        <v>0</v>
      </c>
      <c r="I265" s="24">
        <f t="shared" si="122"/>
        <v>109832.57</v>
      </c>
      <c r="J265" s="24">
        <f t="shared" si="123"/>
        <v>0</v>
      </c>
      <c r="K265" s="24">
        <f t="shared" si="124"/>
        <v>0</v>
      </c>
      <c r="L265" s="24"/>
      <c r="M265" s="35"/>
      <c r="N265" s="35"/>
    </row>
    <row r="266" spans="1:14" s="7" customFormat="1" ht="31.2" x14ac:dyDescent="0.25">
      <c r="A266" s="33" t="s">
        <v>125</v>
      </c>
      <c r="B266" s="17">
        <v>992</v>
      </c>
      <c r="C266" s="34" t="s">
        <v>181</v>
      </c>
      <c r="D266" s="17" t="s">
        <v>554</v>
      </c>
      <c r="E266" s="41" t="s">
        <v>126</v>
      </c>
      <c r="F266" s="24">
        <v>732347.75</v>
      </c>
      <c r="G266" s="24">
        <v>109832.57</v>
      </c>
      <c r="H266" s="24">
        <v>0</v>
      </c>
      <c r="I266" s="24">
        <f t="shared" si="122"/>
        <v>109832.57</v>
      </c>
      <c r="J266" s="24">
        <f t="shared" si="123"/>
        <v>0</v>
      </c>
      <c r="K266" s="24">
        <f t="shared" si="124"/>
        <v>0</v>
      </c>
      <c r="L266" s="24"/>
      <c r="M266" s="35"/>
      <c r="N266" s="35"/>
    </row>
    <row r="267" spans="1:14" s="7" customFormat="1" ht="48" customHeight="1" x14ac:dyDescent="0.25">
      <c r="A267" s="43" t="s">
        <v>480</v>
      </c>
      <c r="B267" s="17">
        <v>992</v>
      </c>
      <c r="C267" s="34" t="s">
        <v>181</v>
      </c>
      <c r="D267" s="17" t="s">
        <v>524</v>
      </c>
      <c r="E267" s="41" t="s">
        <v>27</v>
      </c>
      <c r="F267" s="24">
        <f>F268</f>
        <v>3902033.32</v>
      </c>
      <c r="G267" s="24">
        <f t="shared" ref="G267:H267" si="170">G268</f>
        <v>3902033.32</v>
      </c>
      <c r="H267" s="24">
        <f t="shared" si="170"/>
        <v>171517.8</v>
      </c>
      <c r="I267" s="24">
        <f t="shared" si="122"/>
        <v>3730515.52</v>
      </c>
      <c r="J267" s="24">
        <f t="shared" si="123"/>
        <v>4.4000000000000004</v>
      </c>
      <c r="K267" s="24">
        <f t="shared" si="124"/>
        <v>4.4000000000000004</v>
      </c>
      <c r="L267" s="24"/>
      <c r="M267" s="35"/>
      <c r="N267" s="35"/>
    </row>
    <row r="268" spans="1:14" s="7" customFormat="1" ht="46.8" x14ac:dyDescent="0.25">
      <c r="A268" s="43" t="s">
        <v>546</v>
      </c>
      <c r="B268" s="17">
        <v>992</v>
      </c>
      <c r="C268" s="34" t="s">
        <v>181</v>
      </c>
      <c r="D268" s="17" t="s">
        <v>525</v>
      </c>
      <c r="E268" s="41" t="s">
        <v>27</v>
      </c>
      <c r="F268" s="24">
        <f>F269+F271</f>
        <v>3902033.32</v>
      </c>
      <c r="G268" s="24">
        <f t="shared" ref="G268:H268" si="171">G269+G271</f>
        <v>3902033.32</v>
      </c>
      <c r="H268" s="24">
        <f t="shared" si="171"/>
        <v>171517.8</v>
      </c>
      <c r="I268" s="24">
        <f t="shared" si="122"/>
        <v>3730515.52</v>
      </c>
      <c r="J268" s="24">
        <f t="shared" si="123"/>
        <v>4.4000000000000004</v>
      </c>
      <c r="K268" s="24">
        <f t="shared" si="124"/>
        <v>4.4000000000000004</v>
      </c>
      <c r="L268" s="24"/>
      <c r="M268" s="35"/>
      <c r="N268" s="35"/>
    </row>
    <row r="269" spans="1:14" s="7" customFormat="1" ht="78" x14ac:dyDescent="0.3">
      <c r="A269" s="66" t="s">
        <v>239</v>
      </c>
      <c r="B269" s="17">
        <v>992</v>
      </c>
      <c r="C269" s="34" t="s">
        <v>181</v>
      </c>
      <c r="D269" s="17" t="s">
        <v>526</v>
      </c>
      <c r="E269" s="41" t="s">
        <v>27</v>
      </c>
      <c r="F269" s="24">
        <f>F270</f>
        <v>1951016.66</v>
      </c>
      <c r="G269" s="24">
        <f t="shared" ref="G269:H269" si="172">G270</f>
        <v>1951016.66</v>
      </c>
      <c r="H269" s="24">
        <f t="shared" si="172"/>
        <v>0</v>
      </c>
      <c r="I269" s="24">
        <f t="shared" si="122"/>
        <v>1951016.66</v>
      </c>
      <c r="J269" s="24">
        <f t="shared" si="123"/>
        <v>0</v>
      </c>
      <c r="K269" s="24">
        <f t="shared" si="124"/>
        <v>0</v>
      </c>
      <c r="L269" s="24"/>
      <c r="M269" s="35"/>
      <c r="N269" s="35"/>
    </row>
    <row r="270" spans="1:14" s="7" customFormat="1" ht="31.2" x14ac:dyDescent="0.25">
      <c r="A270" s="33" t="s">
        <v>125</v>
      </c>
      <c r="B270" s="17">
        <v>992</v>
      </c>
      <c r="C270" s="34" t="s">
        <v>181</v>
      </c>
      <c r="D270" s="17" t="s">
        <v>526</v>
      </c>
      <c r="E270" s="41" t="s">
        <v>126</v>
      </c>
      <c r="F270" s="24">
        <v>1951016.66</v>
      </c>
      <c r="G270" s="24">
        <v>1951016.66</v>
      </c>
      <c r="H270" s="24">
        <v>0</v>
      </c>
      <c r="I270" s="24">
        <f t="shared" ref="I270:I333" si="173">$G270-$H270</f>
        <v>1951016.66</v>
      </c>
      <c r="J270" s="24">
        <f t="shared" ref="J270:J333" si="174">$H270/$F270*100</f>
        <v>0</v>
      </c>
      <c r="K270" s="24">
        <f t="shared" ref="K270:K333" si="175">$H270/$G270*100</f>
        <v>0</v>
      </c>
      <c r="L270" s="24"/>
      <c r="M270" s="35"/>
      <c r="N270" s="35"/>
    </row>
    <row r="271" spans="1:14" s="7" customFormat="1" ht="78" x14ac:dyDescent="0.3">
      <c r="A271" s="66" t="s">
        <v>240</v>
      </c>
      <c r="B271" s="17">
        <v>992</v>
      </c>
      <c r="C271" s="34" t="s">
        <v>181</v>
      </c>
      <c r="D271" s="17" t="s">
        <v>526</v>
      </c>
      <c r="E271" s="41" t="s">
        <v>27</v>
      </c>
      <c r="F271" s="24">
        <f>F272</f>
        <v>1951016.66</v>
      </c>
      <c r="G271" s="24">
        <f t="shared" ref="G271:H271" si="176">G272</f>
        <v>1951016.66</v>
      </c>
      <c r="H271" s="24">
        <f t="shared" si="176"/>
        <v>171517.8</v>
      </c>
      <c r="I271" s="24">
        <f t="shared" si="173"/>
        <v>1779498.86</v>
      </c>
      <c r="J271" s="24">
        <f t="shared" si="174"/>
        <v>8.7899999999999991</v>
      </c>
      <c r="K271" s="24">
        <f t="shared" si="175"/>
        <v>8.7899999999999991</v>
      </c>
      <c r="L271" s="24"/>
      <c r="M271" s="35"/>
      <c r="N271" s="35"/>
    </row>
    <row r="272" spans="1:14" s="7" customFormat="1" ht="31.2" x14ac:dyDescent="0.25">
      <c r="A272" s="33" t="s">
        <v>125</v>
      </c>
      <c r="B272" s="17">
        <v>992</v>
      </c>
      <c r="C272" s="34" t="s">
        <v>181</v>
      </c>
      <c r="D272" s="17" t="s">
        <v>526</v>
      </c>
      <c r="E272" s="41" t="s">
        <v>126</v>
      </c>
      <c r="F272" s="24">
        <v>1951016.66</v>
      </c>
      <c r="G272" s="24">
        <v>1951016.66</v>
      </c>
      <c r="H272" s="24">
        <v>171517.8</v>
      </c>
      <c r="I272" s="24">
        <f t="shared" si="173"/>
        <v>1779498.86</v>
      </c>
      <c r="J272" s="24">
        <f t="shared" si="174"/>
        <v>8.7899999999999991</v>
      </c>
      <c r="K272" s="24">
        <f t="shared" si="175"/>
        <v>8.7899999999999991</v>
      </c>
      <c r="L272" s="24"/>
      <c r="M272" s="35"/>
      <c r="N272" s="35"/>
    </row>
    <row r="273" spans="1:14" s="7" customFormat="1" ht="31.2" x14ac:dyDescent="0.25">
      <c r="A273" s="43" t="s">
        <v>537</v>
      </c>
      <c r="B273" s="17">
        <v>992</v>
      </c>
      <c r="C273" s="34" t="s">
        <v>181</v>
      </c>
      <c r="D273" s="17" t="s">
        <v>532</v>
      </c>
      <c r="E273" s="41" t="s">
        <v>27</v>
      </c>
      <c r="F273" s="24">
        <f>F274+F279+F288</f>
        <v>21430165.550000001</v>
      </c>
      <c r="G273" s="24">
        <f t="shared" ref="G273:H273" si="177">G274+G279+G288</f>
        <v>48334759.189999998</v>
      </c>
      <c r="H273" s="24">
        <f t="shared" si="177"/>
        <v>6856419.4000000004</v>
      </c>
      <c r="I273" s="24">
        <f t="shared" si="173"/>
        <v>41478339.789999999</v>
      </c>
      <c r="J273" s="24">
        <f t="shared" si="174"/>
        <v>31.99</v>
      </c>
      <c r="K273" s="24">
        <f t="shared" si="175"/>
        <v>14.19</v>
      </c>
      <c r="L273" s="24"/>
      <c r="M273" s="35"/>
      <c r="N273" s="35"/>
    </row>
    <row r="274" spans="1:14" s="7" customFormat="1" ht="46.8" x14ac:dyDescent="0.25">
      <c r="A274" s="43" t="s">
        <v>541</v>
      </c>
      <c r="B274" s="17">
        <v>992</v>
      </c>
      <c r="C274" s="34" t="s">
        <v>181</v>
      </c>
      <c r="D274" s="17" t="s">
        <v>530</v>
      </c>
      <c r="E274" s="41" t="s">
        <v>27</v>
      </c>
      <c r="F274" s="24">
        <f>F277+F275</f>
        <v>17449559.469999999</v>
      </c>
      <c r="G274" s="24">
        <f t="shared" ref="G274:H274" si="178">G277+G275</f>
        <v>36118078.380000003</v>
      </c>
      <c r="H274" s="24">
        <f t="shared" si="178"/>
        <v>6841419.4000000004</v>
      </c>
      <c r="I274" s="24">
        <f t="shared" si="173"/>
        <v>29276658.98</v>
      </c>
      <c r="J274" s="24">
        <f t="shared" si="174"/>
        <v>39.21</v>
      </c>
      <c r="K274" s="24">
        <f t="shared" si="175"/>
        <v>18.940000000000001</v>
      </c>
      <c r="L274" s="24"/>
      <c r="M274" s="35"/>
      <c r="N274" s="35"/>
    </row>
    <row r="275" spans="1:14" s="7" customFormat="1" ht="31.2" x14ac:dyDescent="0.25">
      <c r="A275" s="61" t="s">
        <v>620</v>
      </c>
      <c r="B275" s="17">
        <v>992</v>
      </c>
      <c r="C275" s="34" t="s">
        <v>181</v>
      </c>
      <c r="D275" s="16" t="s">
        <v>619</v>
      </c>
      <c r="E275" s="41" t="s">
        <v>27</v>
      </c>
      <c r="F275" s="24">
        <f>F276</f>
        <v>0</v>
      </c>
      <c r="G275" s="24">
        <f t="shared" ref="G275:H275" si="179">G276</f>
        <v>4000000</v>
      </c>
      <c r="H275" s="24">
        <f t="shared" si="179"/>
        <v>0</v>
      </c>
      <c r="I275" s="24">
        <f t="shared" si="173"/>
        <v>4000000</v>
      </c>
      <c r="J275" s="24" t="s">
        <v>668</v>
      </c>
      <c r="K275" s="24">
        <f t="shared" si="175"/>
        <v>0</v>
      </c>
      <c r="L275" s="24"/>
      <c r="M275" s="35"/>
      <c r="N275" s="35"/>
    </row>
    <row r="276" spans="1:14" s="7" customFormat="1" ht="31.2" x14ac:dyDescent="0.25">
      <c r="A276" s="33" t="s">
        <v>125</v>
      </c>
      <c r="B276" s="17">
        <v>992</v>
      </c>
      <c r="C276" s="34" t="s">
        <v>181</v>
      </c>
      <c r="D276" s="16" t="s">
        <v>619</v>
      </c>
      <c r="E276" s="41" t="s">
        <v>126</v>
      </c>
      <c r="F276" s="24">
        <v>0</v>
      </c>
      <c r="G276" s="24">
        <v>4000000</v>
      </c>
      <c r="H276" s="24">
        <v>0</v>
      </c>
      <c r="I276" s="24">
        <f t="shared" si="173"/>
        <v>4000000</v>
      </c>
      <c r="J276" s="24" t="s">
        <v>668</v>
      </c>
      <c r="K276" s="24">
        <f t="shared" si="175"/>
        <v>0</v>
      </c>
      <c r="L276" s="24"/>
      <c r="M276" s="35"/>
      <c r="N276" s="35"/>
    </row>
    <row r="277" spans="1:14" s="7" customFormat="1" ht="31.2" x14ac:dyDescent="0.25">
      <c r="A277" s="61" t="s">
        <v>273</v>
      </c>
      <c r="B277" s="17">
        <v>992</v>
      </c>
      <c r="C277" s="34" t="s">
        <v>181</v>
      </c>
      <c r="D277" s="16" t="s">
        <v>542</v>
      </c>
      <c r="E277" s="41" t="s">
        <v>27</v>
      </c>
      <c r="F277" s="24">
        <f>F278</f>
        <v>17449559.469999999</v>
      </c>
      <c r="G277" s="24">
        <f t="shared" ref="G277:H277" si="180">G278</f>
        <v>32118078.379999999</v>
      </c>
      <c r="H277" s="24">
        <f t="shared" si="180"/>
        <v>6841419.4000000004</v>
      </c>
      <c r="I277" s="24">
        <f t="shared" si="173"/>
        <v>25276658.98</v>
      </c>
      <c r="J277" s="24">
        <f t="shared" si="174"/>
        <v>39.21</v>
      </c>
      <c r="K277" s="24">
        <f t="shared" si="175"/>
        <v>21.3</v>
      </c>
      <c r="L277" s="24"/>
      <c r="M277" s="35"/>
      <c r="N277" s="35"/>
    </row>
    <row r="278" spans="1:14" s="7" customFormat="1" ht="31.2" x14ac:dyDescent="0.25">
      <c r="A278" s="33" t="s">
        <v>125</v>
      </c>
      <c r="B278" s="17">
        <v>992</v>
      </c>
      <c r="C278" s="34" t="s">
        <v>181</v>
      </c>
      <c r="D278" s="16" t="s">
        <v>542</v>
      </c>
      <c r="E278" s="41" t="s">
        <v>126</v>
      </c>
      <c r="F278" s="24">
        <f>17449559.47</f>
        <v>17449559.469999999</v>
      </c>
      <c r="G278" s="24">
        <f t="shared" ref="G278" si="181">17449559.47+14451512.91+217006</f>
        <v>32118078.379999999</v>
      </c>
      <c r="H278" s="24">
        <v>6841419.4000000004</v>
      </c>
      <c r="I278" s="24">
        <f t="shared" si="173"/>
        <v>25276658.98</v>
      </c>
      <c r="J278" s="24">
        <f t="shared" si="174"/>
        <v>39.21</v>
      </c>
      <c r="K278" s="24">
        <f t="shared" si="175"/>
        <v>21.3</v>
      </c>
      <c r="L278" s="24"/>
      <c r="M278" s="35"/>
      <c r="N278" s="35"/>
    </row>
    <row r="279" spans="1:14" s="7" customFormat="1" ht="46.8" x14ac:dyDescent="0.25">
      <c r="A279" s="43" t="s">
        <v>453</v>
      </c>
      <c r="B279" s="17">
        <v>992</v>
      </c>
      <c r="C279" s="34" t="s">
        <v>181</v>
      </c>
      <c r="D279" s="17" t="s">
        <v>547</v>
      </c>
      <c r="E279" s="41" t="s">
        <v>27</v>
      </c>
      <c r="F279" s="24">
        <f>F280+F282+F284+F286</f>
        <v>60606.080000000002</v>
      </c>
      <c r="G279" s="24">
        <f t="shared" ref="G279:H279" si="182">G280+G282+G284+G286</f>
        <v>8266680.8099999996</v>
      </c>
      <c r="H279" s="24">
        <f t="shared" si="182"/>
        <v>0</v>
      </c>
      <c r="I279" s="24">
        <f t="shared" si="173"/>
        <v>8266680.8099999996</v>
      </c>
      <c r="J279" s="24">
        <f t="shared" si="174"/>
        <v>0</v>
      </c>
      <c r="K279" s="24">
        <f t="shared" si="175"/>
        <v>0</v>
      </c>
      <c r="L279" s="24"/>
      <c r="M279" s="35"/>
      <c r="N279" s="35"/>
    </row>
    <row r="280" spans="1:14" s="7" customFormat="1" ht="46.8" x14ac:dyDescent="0.25">
      <c r="A280" s="33" t="s">
        <v>623</v>
      </c>
      <c r="B280" s="17">
        <v>992</v>
      </c>
      <c r="C280" s="34" t="s">
        <v>181</v>
      </c>
      <c r="D280" s="17" t="s">
        <v>548</v>
      </c>
      <c r="E280" s="41" t="s">
        <v>27</v>
      </c>
      <c r="F280" s="24">
        <f>F281</f>
        <v>0</v>
      </c>
      <c r="G280" s="24">
        <f t="shared" ref="G280:H280" si="183">G281</f>
        <v>3000000</v>
      </c>
      <c r="H280" s="24">
        <f t="shared" si="183"/>
        <v>0</v>
      </c>
      <c r="I280" s="24">
        <f t="shared" si="173"/>
        <v>3000000</v>
      </c>
      <c r="J280" s="24" t="s">
        <v>668</v>
      </c>
      <c r="K280" s="24">
        <f t="shared" si="175"/>
        <v>0</v>
      </c>
      <c r="L280" s="24"/>
      <c r="M280" s="35"/>
      <c r="N280" s="35"/>
    </row>
    <row r="281" spans="1:14" s="7" customFormat="1" ht="31.2" x14ac:dyDescent="0.25">
      <c r="A281" s="33" t="s">
        <v>125</v>
      </c>
      <c r="B281" s="17">
        <v>992</v>
      </c>
      <c r="C281" s="34" t="s">
        <v>181</v>
      </c>
      <c r="D281" s="17" t="s">
        <v>548</v>
      </c>
      <c r="E281" s="41" t="s">
        <v>126</v>
      </c>
      <c r="F281" s="15">
        <v>0</v>
      </c>
      <c r="G281" s="15">
        <f t="shared" ref="G281" si="184">0+3000000</f>
        <v>3000000</v>
      </c>
      <c r="H281" s="15">
        <v>0</v>
      </c>
      <c r="I281" s="15">
        <f t="shared" si="173"/>
        <v>3000000</v>
      </c>
      <c r="J281" s="15" t="s">
        <v>668</v>
      </c>
      <c r="K281" s="15">
        <f t="shared" si="175"/>
        <v>0</v>
      </c>
      <c r="L281" s="15"/>
      <c r="M281" s="35"/>
      <c r="N281" s="35"/>
    </row>
    <row r="282" spans="1:14" s="7" customFormat="1" ht="62.4" x14ac:dyDescent="0.25">
      <c r="A282" s="33" t="s">
        <v>624</v>
      </c>
      <c r="B282" s="17">
        <v>992</v>
      </c>
      <c r="C282" s="34" t="s">
        <v>181</v>
      </c>
      <c r="D282" s="17" t="s">
        <v>548</v>
      </c>
      <c r="E282" s="41" t="s">
        <v>27</v>
      </c>
      <c r="F282" s="24">
        <f>F283</f>
        <v>30303.040000000001</v>
      </c>
      <c r="G282" s="24">
        <f t="shared" ref="G282:H282" si="185">G283</f>
        <v>30303.040000000001</v>
      </c>
      <c r="H282" s="24">
        <f t="shared" si="185"/>
        <v>0</v>
      </c>
      <c r="I282" s="24">
        <f t="shared" si="173"/>
        <v>30303.040000000001</v>
      </c>
      <c r="J282" s="24">
        <f t="shared" si="174"/>
        <v>0</v>
      </c>
      <c r="K282" s="24">
        <f t="shared" si="175"/>
        <v>0</v>
      </c>
      <c r="L282" s="24"/>
      <c r="M282" s="35"/>
      <c r="N282" s="35"/>
    </row>
    <row r="283" spans="1:14" s="7" customFormat="1" ht="31.2" x14ac:dyDescent="0.25">
      <c r="A283" s="33" t="s">
        <v>125</v>
      </c>
      <c r="B283" s="17">
        <v>992</v>
      </c>
      <c r="C283" s="34" t="s">
        <v>181</v>
      </c>
      <c r="D283" s="17" t="s">
        <v>548</v>
      </c>
      <c r="E283" s="41" t="s">
        <v>126</v>
      </c>
      <c r="F283" s="15">
        <v>30303.040000000001</v>
      </c>
      <c r="G283" s="15">
        <v>30303.040000000001</v>
      </c>
      <c r="H283" s="15">
        <v>0</v>
      </c>
      <c r="I283" s="15">
        <f t="shared" si="173"/>
        <v>30303.040000000001</v>
      </c>
      <c r="J283" s="15">
        <f t="shared" si="174"/>
        <v>0</v>
      </c>
      <c r="K283" s="15">
        <f t="shared" si="175"/>
        <v>0</v>
      </c>
      <c r="L283" s="15"/>
      <c r="M283" s="35"/>
      <c r="N283" s="35"/>
    </row>
    <row r="284" spans="1:14" s="7" customFormat="1" ht="62.4" x14ac:dyDescent="0.25">
      <c r="A284" s="33" t="s">
        <v>622</v>
      </c>
      <c r="B284" s="17">
        <v>992</v>
      </c>
      <c r="C284" s="34" t="s">
        <v>181</v>
      </c>
      <c r="D284" s="17" t="s">
        <v>549</v>
      </c>
      <c r="E284" s="41" t="s">
        <v>27</v>
      </c>
      <c r="F284" s="24">
        <f>F285</f>
        <v>0</v>
      </c>
      <c r="G284" s="24">
        <f t="shared" ref="G284:H284" si="186">G285</f>
        <v>3000000</v>
      </c>
      <c r="H284" s="24">
        <f t="shared" si="186"/>
        <v>0</v>
      </c>
      <c r="I284" s="24">
        <f t="shared" si="173"/>
        <v>3000000</v>
      </c>
      <c r="J284" s="24" t="s">
        <v>668</v>
      </c>
      <c r="K284" s="24">
        <f t="shared" si="175"/>
        <v>0</v>
      </c>
      <c r="L284" s="24"/>
      <c r="M284" s="35"/>
      <c r="N284" s="35"/>
    </row>
    <row r="285" spans="1:14" s="7" customFormat="1" ht="31.2" x14ac:dyDescent="0.25">
      <c r="A285" s="33" t="s">
        <v>125</v>
      </c>
      <c r="B285" s="17">
        <v>992</v>
      </c>
      <c r="C285" s="34" t="s">
        <v>181</v>
      </c>
      <c r="D285" s="17" t="s">
        <v>549</v>
      </c>
      <c r="E285" s="41" t="s">
        <v>126</v>
      </c>
      <c r="F285" s="15">
        <v>0</v>
      </c>
      <c r="G285" s="15">
        <f t="shared" ref="G285" si="187">0+3000000</f>
        <v>3000000</v>
      </c>
      <c r="H285" s="15">
        <v>0</v>
      </c>
      <c r="I285" s="15">
        <f t="shared" si="173"/>
        <v>3000000</v>
      </c>
      <c r="J285" s="15" t="s">
        <v>668</v>
      </c>
      <c r="K285" s="15">
        <f t="shared" si="175"/>
        <v>0</v>
      </c>
      <c r="L285" s="15"/>
      <c r="M285" s="35"/>
      <c r="N285" s="35"/>
    </row>
    <row r="286" spans="1:14" s="7" customFormat="1" ht="78" x14ac:dyDescent="0.25">
      <c r="A286" s="33" t="s">
        <v>621</v>
      </c>
      <c r="B286" s="17">
        <v>992</v>
      </c>
      <c r="C286" s="34" t="s">
        <v>181</v>
      </c>
      <c r="D286" s="17" t="s">
        <v>549</v>
      </c>
      <c r="E286" s="41" t="s">
        <v>27</v>
      </c>
      <c r="F286" s="24">
        <f>F287</f>
        <v>30303.040000000001</v>
      </c>
      <c r="G286" s="24">
        <f t="shared" ref="G286:H286" si="188">G287</f>
        <v>2236377.77</v>
      </c>
      <c r="H286" s="24">
        <f t="shared" si="188"/>
        <v>0</v>
      </c>
      <c r="I286" s="24">
        <f t="shared" si="173"/>
        <v>2236377.77</v>
      </c>
      <c r="J286" s="24">
        <f t="shared" si="174"/>
        <v>0</v>
      </c>
      <c r="K286" s="24">
        <f t="shared" si="175"/>
        <v>0</v>
      </c>
      <c r="L286" s="24"/>
      <c r="M286" s="35"/>
      <c r="N286" s="35"/>
    </row>
    <row r="287" spans="1:14" s="7" customFormat="1" ht="31.2" x14ac:dyDescent="0.25">
      <c r="A287" s="33" t="s">
        <v>125</v>
      </c>
      <c r="B287" s="17">
        <v>992</v>
      </c>
      <c r="C287" s="34" t="s">
        <v>181</v>
      </c>
      <c r="D287" s="17" t="s">
        <v>549</v>
      </c>
      <c r="E287" s="41" t="s">
        <v>126</v>
      </c>
      <c r="F287" s="15">
        <f>30303.04</f>
        <v>30303.040000000001</v>
      </c>
      <c r="G287" s="15">
        <f t="shared" ref="G287" si="189">30303.04+2206074.73</f>
        <v>2236377.77</v>
      </c>
      <c r="H287" s="15">
        <v>0</v>
      </c>
      <c r="I287" s="15">
        <f t="shared" si="173"/>
        <v>2236377.77</v>
      </c>
      <c r="J287" s="15">
        <f t="shared" si="174"/>
        <v>0</v>
      </c>
      <c r="K287" s="15">
        <f t="shared" si="175"/>
        <v>0</v>
      </c>
      <c r="L287" s="15"/>
      <c r="M287" s="35"/>
      <c r="N287" s="35"/>
    </row>
    <row r="288" spans="1:14" s="7" customFormat="1" ht="46.8" x14ac:dyDescent="0.25">
      <c r="A288" s="61" t="s">
        <v>551</v>
      </c>
      <c r="B288" s="17">
        <v>992</v>
      </c>
      <c r="C288" s="34" t="s">
        <v>181</v>
      </c>
      <c r="D288" s="17" t="s">
        <v>550</v>
      </c>
      <c r="E288" s="41" t="s">
        <v>27</v>
      </c>
      <c r="F288" s="24">
        <f>F289+F291</f>
        <v>3920000</v>
      </c>
      <c r="G288" s="24">
        <f t="shared" ref="G288:H288" si="190">G289+G291</f>
        <v>3950000</v>
      </c>
      <c r="H288" s="24">
        <f t="shared" si="190"/>
        <v>15000</v>
      </c>
      <c r="I288" s="24">
        <f t="shared" si="173"/>
        <v>3935000</v>
      </c>
      <c r="J288" s="24">
        <f t="shared" si="174"/>
        <v>0.38</v>
      </c>
      <c r="K288" s="24">
        <f t="shared" si="175"/>
        <v>0.38</v>
      </c>
      <c r="L288" s="24"/>
      <c r="M288" s="35"/>
      <c r="N288" s="35"/>
    </row>
    <row r="289" spans="1:14" s="7" customFormat="1" ht="31.2" x14ac:dyDescent="0.25">
      <c r="A289" s="61" t="s">
        <v>528</v>
      </c>
      <c r="B289" s="17">
        <v>992</v>
      </c>
      <c r="C289" s="34" t="s">
        <v>181</v>
      </c>
      <c r="D289" s="17" t="s">
        <v>552</v>
      </c>
      <c r="E289" s="41" t="s">
        <v>27</v>
      </c>
      <c r="F289" s="24">
        <f>F290</f>
        <v>3670000</v>
      </c>
      <c r="G289" s="24">
        <f t="shared" ref="G289:H289" si="191">G290</f>
        <v>3670000</v>
      </c>
      <c r="H289" s="24">
        <f t="shared" si="191"/>
        <v>0</v>
      </c>
      <c r="I289" s="24">
        <f t="shared" si="173"/>
        <v>3670000</v>
      </c>
      <c r="J289" s="24">
        <f t="shared" si="174"/>
        <v>0</v>
      </c>
      <c r="K289" s="24">
        <f t="shared" si="175"/>
        <v>0</v>
      </c>
      <c r="L289" s="24"/>
      <c r="M289" s="35"/>
      <c r="N289" s="35"/>
    </row>
    <row r="290" spans="1:14" s="7" customFormat="1" ht="31.2" x14ac:dyDescent="0.25">
      <c r="A290" s="33" t="s">
        <v>125</v>
      </c>
      <c r="B290" s="17">
        <v>992</v>
      </c>
      <c r="C290" s="34" t="s">
        <v>181</v>
      </c>
      <c r="D290" s="17" t="s">
        <v>552</v>
      </c>
      <c r="E290" s="41" t="s">
        <v>126</v>
      </c>
      <c r="F290" s="24">
        <v>3670000</v>
      </c>
      <c r="G290" s="24">
        <v>3670000</v>
      </c>
      <c r="H290" s="24">
        <v>0</v>
      </c>
      <c r="I290" s="24">
        <f t="shared" si="173"/>
        <v>3670000</v>
      </c>
      <c r="J290" s="24">
        <f t="shared" si="174"/>
        <v>0</v>
      </c>
      <c r="K290" s="24">
        <f t="shared" si="175"/>
        <v>0</v>
      </c>
      <c r="L290" s="24"/>
      <c r="M290" s="35"/>
      <c r="N290" s="35"/>
    </row>
    <row r="291" spans="1:14" s="7" customFormat="1" ht="31.2" x14ac:dyDescent="0.25">
      <c r="A291" s="33" t="s">
        <v>527</v>
      </c>
      <c r="B291" s="17">
        <v>992</v>
      </c>
      <c r="C291" s="34" t="s">
        <v>181</v>
      </c>
      <c r="D291" s="44" t="s">
        <v>553</v>
      </c>
      <c r="E291" s="41" t="s">
        <v>27</v>
      </c>
      <c r="F291" s="24">
        <f>F292</f>
        <v>250000</v>
      </c>
      <c r="G291" s="24">
        <f t="shared" ref="G291:H291" si="192">G292</f>
        <v>280000</v>
      </c>
      <c r="H291" s="24">
        <f t="shared" si="192"/>
        <v>15000</v>
      </c>
      <c r="I291" s="24">
        <f t="shared" si="173"/>
        <v>265000</v>
      </c>
      <c r="J291" s="24">
        <f t="shared" si="174"/>
        <v>6</v>
      </c>
      <c r="K291" s="24">
        <f t="shared" si="175"/>
        <v>5.36</v>
      </c>
      <c r="L291" s="24"/>
      <c r="M291" s="35"/>
      <c r="N291" s="35"/>
    </row>
    <row r="292" spans="1:14" s="7" customFormat="1" ht="31.2" x14ac:dyDescent="0.25">
      <c r="A292" s="33" t="s">
        <v>125</v>
      </c>
      <c r="B292" s="17">
        <v>992</v>
      </c>
      <c r="C292" s="34" t="s">
        <v>181</v>
      </c>
      <c r="D292" s="16" t="s">
        <v>553</v>
      </c>
      <c r="E292" s="41" t="s">
        <v>126</v>
      </c>
      <c r="F292" s="24">
        <f>250000</f>
        <v>250000</v>
      </c>
      <c r="G292" s="24">
        <f t="shared" ref="G292" si="193">250000+30000</f>
        <v>280000</v>
      </c>
      <c r="H292" s="24">
        <v>15000</v>
      </c>
      <c r="I292" s="24">
        <f t="shared" si="173"/>
        <v>265000</v>
      </c>
      <c r="J292" s="24">
        <f t="shared" si="174"/>
        <v>6</v>
      </c>
      <c r="K292" s="24">
        <f t="shared" si="175"/>
        <v>5.36</v>
      </c>
      <c r="L292" s="24"/>
      <c r="M292" s="35"/>
      <c r="N292" s="35"/>
    </row>
    <row r="293" spans="1:14" s="9" customFormat="1" ht="46.8" x14ac:dyDescent="0.3">
      <c r="A293" s="50" t="s">
        <v>320</v>
      </c>
      <c r="B293" s="16">
        <v>992</v>
      </c>
      <c r="C293" s="44" t="s">
        <v>181</v>
      </c>
      <c r="D293" s="44" t="s">
        <v>155</v>
      </c>
      <c r="E293" s="44" t="s">
        <v>27</v>
      </c>
      <c r="F293" s="24">
        <f>F294</f>
        <v>0</v>
      </c>
      <c r="G293" s="24">
        <f t="shared" ref="G293:H294" si="194">G294</f>
        <v>745227.12</v>
      </c>
      <c r="H293" s="24">
        <f t="shared" si="194"/>
        <v>745227.12</v>
      </c>
      <c r="I293" s="24">
        <f t="shared" si="173"/>
        <v>0</v>
      </c>
      <c r="J293" s="24" t="s">
        <v>668</v>
      </c>
      <c r="K293" s="24">
        <f t="shared" si="175"/>
        <v>100</v>
      </c>
      <c r="L293" s="24"/>
      <c r="M293" s="35"/>
      <c r="N293" s="35"/>
    </row>
    <row r="294" spans="1:14" s="9" customFormat="1" ht="31.2" x14ac:dyDescent="0.3">
      <c r="A294" s="30" t="s">
        <v>318</v>
      </c>
      <c r="B294" s="16">
        <v>992</v>
      </c>
      <c r="C294" s="44" t="s">
        <v>181</v>
      </c>
      <c r="D294" s="44" t="s">
        <v>256</v>
      </c>
      <c r="E294" s="44" t="s">
        <v>27</v>
      </c>
      <c r="F294" s="24">
        <f>F295</f>
        <v>0</v>
      </c>
      <c r="G294" s="24">
        <f t="shared" si="194"/>
        <v>745227.12</v>
      </c>
      <c r="H294" s="24">
        <f t="shared" si="194"/>
        <v>745227.12</v>
      </c>
      <c r="I294" s="24">
        <f t="shared" si="173"/>
        <v>0</v>
      </c>
      <c r="J294" s="24" t="s">
        <v>668</v>
      </c>
      <c r="K294" s="24">
        <f t="shared" si="175"/>
        <v>100</v>
      </c>
      <c r="L294" s="24"/>
      <c r="M294" s="35"/>
      <c r="N294" s="35"/>
    </row>
    <row r="295" spans="1:14" s="9" customFormat="1" ht="15.6" x14ac:dyDescent="0.3">
      <c r="A295" s="30" t="s">
        <v>319</v>
      </c>
      <c r="B295" s="16">
        <v>992</v>
      </c>
      <c r="C295" s="44" t="s">
        <v>181</v>
      </c>
      <c r="D295" s="44" t="s">
        <v>253</v>
      </c>
      <c r="E295" s="44" t="s">
        <v>27</v>
      </c>
      <c r="F295" s="24">
        <f>F298+F296</f>
        <v>0</v>
      </c>
      <c r="G295" s="24">
        <f t="shared" ref="G295:H295" si="195">G298+G296</f>
        <v>745227.12</v>
      </c>
      <c r="H295" s="24">
        <f t="shared" si="195"/>
        <v>745227.12</v>
      </c>
      <c r="I295" s="24">
        <f t="shared" si="173"/>
        <v>0</v>
      </c>
      <c r="J295" s="24" t="s">
        <v>668</v>
      </c>
      <c r="K295" s="24">
        <f t="shared" si="175"/>
        <v>100</v>
      </c>
      <c r="L295" s="24"/>
      <c r="M295" s="35"/>
      <c r="N295" s="35"/>
    </row>
    <row r="296" spans="1:14" s="7" customFormat="1" ht="31.2" x14ac:dyDescent="0.25">
      <c r="A296" s="30" t="s">
        <v>563</v>
      </c>
      <c r="B296" s="17">
        <v>992</v>
      </c>
      <c r="C296" s="34" t="s">
        <v>181</v>
      </c>
      <c r="D296" s="17" t="s">
        <v>208</v>
      </c>
      <c r="E296" s="34" t="s">
        <v>27</v>
      </c>
      <c r="F296" s="22">
        <f>F297</f>
        <v>0</v>
      </c>
      <c r="G296" s="22">
        <f t="shared" ref="G296:H296" si="196">G297</f>
        <v>630000</v>
      </c>
      <c r="H296" s="22">
        <f t="shared" si="196"/>
        <v>630000</v>
      </c>
      <c r="I296" s="22">
        <f t="shared" si="173"/>
        <v>0</v>
      </c>
      <c r="J296" s="22" t="s">
        <v>668</v>
      </c>
      <c r="K296" s="22">
        <f t="shared" si="175"/>
        <v>100</v>
      </c>
      <c r="L296" s="22"/>
      <c r="M296" s="35"/>
      <c r="N296" s="35"/>
    </row>
    <row r="297" spans="1:14" s="7" customFormat="1" ht="31.2" x14ac:dyDescent="0.25">
      <c r="A297" s="30" t="s">
        <v>125</v>
      </c>
      <c r="B297" s="17">
        <v>992</v>
      </c>
      <c r="C297" s="34" t="s">
        <v>181</v>
      </c>
      <c r="D297" s="17" t="s">
        <v>208</v>
      </c>
      <c r="E297" s="17">
        <v>240</v>
      </c>
      <c r="F297" s="22">
        <v>0</v>
      </c>
      <c r="G297" s="22">
        <v>630000</v>
      </c>
      <c r="H297" s="22">
        <v>630000</v>
      </c>
      <c r="I297" s="22">
        <f t="shared" si="173"/>
        <v>0</v>
      </c>
      <c r="J297" s="22" t="s">
        <v>668</v>
      </c>
      <c r="K297" s="22">
        <f t="shared" si="175"/>
        <v>100</v>
      </c>
      <c r="L297" s="22"/>
      <c r="M297" s="35"/>
      <c r="N297" s="35"/>
    </row>
    <row r="298" spans="1:14" s="7" customFormat="1" ht="31.2" x14ac:dyDescent="0.25">
      <c r="A298" s="62" t="s">
        <v>273</v>
      </c>
      <c r="B298" s="17">
        <v>992</v>
      </c>
      <c r="C298" s="34" t="s">
        <v>181</v>
      </c>
      <c r="D298" s="17" t="s">
        <v>625</v>
      </c>
      <c r="E298" s="41" t="s">
        <v>27</v>
      </c>
      <c r="F298" s="24">
        <f>F299</f>
        <v>0</v>
      </c>
      <c r="G298" s="24">
        <f t="shared" ref="G298:H298" si="197">G299</f>
        <v>115227.12</v>
      </c>
      <c r="H298" s="24">
        <f t="shared" si="197"/>
        <v>115227.12</v>
      </c>
      <c r="I298" s="24">
        <f t="shared" si="173"/>
        <v>0</v>
      </c>
      <c r="J298" s="24" t="s">
        <v>668</v>
      </c>
      <c r="K298" s="24">
        <f t="shared" si="175"/>
        <v>100</v>
      </c>
      <c r="L298" s="24"/>
      <c r="M298" s="35"/>
      <c r="N298" s="35"/>
    </row>
    <row r="299" spans="1:14" s="7" customFormat="1" ht="31.2" x14ac:dyDescent="0.25">
      <c r="A299" s="33" t="s">
        <v>125</v>
      </c>
      <c r="B299" s="17">
        <v>992</v>
      </c>
      <c r="C299" s="34" t="s">
        <v>181</v>
      </c>
      <c r="D299" s="17" t="s">
        <v>625</v>
      </c>
      <c r="E299" s="41" t="s">
        <v>126</v>
      </c>
      <c r="F299" s="24">
        <v>0</v>
      </c>
      <c r="G299" s="24">
        <v>115227.12</v>
      </c>
      <c r="H299" s="24">
        <v>115227.12</v>
      </c>
      <c r="I299" s="24">
        <f t="shared" si="173"/>
        <v>0</v>
      </c>
      <c r="J299" s="24" t="s">
        <v>668</v>
      </c>
      <c r="K299" s="24">
        <f t="shared" si="175"/>
        <v>100</v>
      </c>
      <c r="L299" s="24"/>
      <c r="M299" s="35"/>
      <c r="N299" s="35"/>
    </row>
    <row r="300" spans="1:14" s="7" customFormat="1" ht="31.2" x14ac:dyDescent="0.25">
      <c r="A300" s="57" t="s">
        <v>171</v>
      </c>
      <c r="B300" s="17">
        <v>992</v>
      </c>
      <c r="C300" s="44" t="s">
        <v>173</v>
      </c>
      <c r="D300" s="17" t="s">
        <v>154</v>
      </c>
      <c r="E300" s="44" t="s">
        <v>27</v>
      </c>
      <c r="F300" s="24">
        <f>F301</f>
        <v>5372.86</v>
      </c>
      <c r="G300" s="24">
        <f t="shared" ref="G300:H304" si="198">G301</f>
        <v>5398.7</v>
      </c>
      <c r="H300" s="24">
        <f t="shared" si="198"/>
        <v>0</v>
      </c>
      <c r="I300" s="24">
        <f t="shared" si="173"/>
        <v>5398.7</v>
      </c>
      <c r="J300" s="24">
        <f t="shared" si="174"/>
        <v>0</v>
      </c>
      <c r="K300" s="24">
        <f t="shared" si="175"/>
        <v>0</v>
      </c>
      <c r="L300" s="24"/>
      <c r="M300" s="35"/>
      <c r="N300" s="35"/>
    </row>
    <row r="301" spans="1:14" s="7" customFormat="1" ht="46.8" x14ac:dyDescent="0.25">
      <c r="A301" s="50" t="s">
        <v>320</v>
      </c>
      <c r="B301" s="16">
        <v>992</v>
      </c>
      <c r="C301" s="44" t="s">
        <v>173</v>
      </c>
      <c r="D301" s="44" t="s">
        <v>155</v>
      </c>
      <c r="E301" s="44" t="s">
        <v>27</v>
      </c>
      <c r="F301" s="24">
        <f>F302</f>
        <v>5372.86</v>
      </c>
      <c r="G301" s="24">
        <f t="shared" si="198"/>
        <v>5398.7</v>
      </c>
      <c r="H301" s="24">
        <f t="shared" si="198"/>
        <v>0</v>
      </c>
      <c r="I301" s="24">
        <f t="shared" si="173"/>
        <v>5398.7</v>
      </c>
      <c r="J301" s="24">
        <f t="shared" si="174"/>
        <v>0</v>
      </c>
      <c r="K301" s="24">
        <f t="shared" si="175"/>
        <v>0</v>
      </c>
      <c r="L301" s="24"/>
      <c r="M301" s="35"/>
      <c r="N301" s="35"/>
    </row>
    <row r="302" spans="1:14" s="7" customFormat="1" ht="31.2" x14ac:dyDescent="0.25">
      <c r="A302" s="30" t="s">
        <v>318</v>
      </c>
      <c r="B302" s="16">
        <v>992</v>
      </c>
      <c r="C302" s="44" t="s">
        <v>173</v>
      </c>
      <c r="D302" s="44" t="s">
        <v>256</v>
      </c>
      <c r="E302" s="44" t="s">
        <v>27</v>
      </c>
      <c r="F302" s="24">
        <f>F303</f>
        <v>5372.86</v>
      </c>
      <c r="G302" s="24">
        <f t="shared" si="198"/>
        <v>5398.7</v>
      </c>
      <c r="H302" s="24">
        <f t="shared" si="198"/>
        <v>0</v>
      </c>
      <c r="I302" s="24">
        <f t="shared" si="173"/>
        <v>5398.7</v>
      </c>
      <c r="J302" s="24">
        <f t="shared" si="174"/>
        <v>0</v>
      </c>
      <c r="K302" s="24">
        <f t="shared" si="175"/>
        <v>0</v>
      </c>
      <c r="L302" s="24"/>
      <c r="M302" s="35"/>
      <c r="N302" s="35"/>
    </row>
    <row r="303" spans="1:14" s="7" customFormat="1" ht="15.6" x14ac:dyDescent="0.25">
      <c r="A303" s="30" t="s">
        <v>319</v>
      </c>
      <c r="B303" s="16">
        <v>992</v>
      </c>
      <c r="C303" s="44" t="s">
        <v>173</v>
      </c>
      <c r="D303" s="44" t="s">
        <v>253</v>
      </c>
      <c r="E303" s="44" t="s">
        <v>27</v>
      </c>
      <c r="F303" s="24">
        <f>F304</f>
        <v>5372.86</v>
      </c>
      <c r="G303" s="24">
        <f t="shared" si="198"/>
        <v>5398.7</v>
      </c>
      <c r="H303" s="24">
        <f t="shared" si="198"/>
        <v>0</v>
      </c>
      <c r="I303" s="24">
        <f t="shared" si="173"/>
        <v>5398.7</v>
      </c>
      <c r="J303" s="24">
        <f t="shared" si="174"/>
        <v>0</v>
      </c>
      <c r="K303" s="24">
        <f t="shared" si="175"/>
        <v>0</v>
      </c>
      <c r="L303" s="24"/>
      <c r="M303" s="35"/>
      <c r="N303" s="35"/>
    </row>
    <row r="304" spans="1:14" s="7" customFormat="1" ht="62.4" x14ac:dyDescent="0.25">
      <c r="A304" s="46" t="s">
        <v>172</v>
      </c>
      <c r="B304" s="17">
        <v>992</v>
      </c>
      <c r="C304" s="44" t="s">
        <v>173</v>
      </c>
      <c r="D304" s="36" t="s">
        <v>389</v>
      </c>
      <c r="E304" s="47" t="s">
        <v>27</v>
      </c>
      <c r="F304" s="24">
        <f>F305</f>
        <v>5372.86</v>
      </c>
      <c r="G304" s="24">
        <f t="shared" si="198"/>
        <v>5398.7</v>
      </c>
      <c r="H304" s="24">
        <f t="shared" si="198"/>
        <v>0</v>
      </c>
      <c r="I304" s="24">
        <f t="shared" si="173"/>
        <v>5398.7</v>
      </c>
      <c r="J304" s="24">
        <f t="shared" si="174"/>
        <v>0</v>
      </c>
      <c r="K304" s="24">
        <f t="shared" si="175"/>
        <v>0</v>
      </c>
      <c r="L304" s="24"/>
      <c r="M304" s="35"/>
      <c r="N304" s="35"/>
    </row>
    <row r="305" spans="1:14" s="7" customFormat="1" ht="31.2" x14ac:dyDescent="0.25">
      <c r="A305" s="43" t="s">
        <v>127</v>
      </c>
      <c r="B305" s="17">
        <v>992</v>
      </c>
      <c r="C305" s="44" t="s">
        <v>173</v>
      </c>
      <c r="D305" s="36" t="s">
        <v>389</v>
      </c>
      <c r="E305" s="47" t="s">
        <v>128</v>
      </c>
      <c r="F305" s="28">
        <f>5372.86</f>
        <v>5372.86</v>
      </c>
      <c r="G305" s="28">
        <f t="shared" ref="G305" si="199">5372.86+19.84+6</f>
        <v>5398.7</v>
      </c>
      <c r="H305" s="28">
        <v>0</v>
      </c>
      <c r="I305" s="28">
        <f t="shared" si="173"/>
        <v>5398.7</v>
      </c>
      <c r="J305" s="28">
        <f t="shared" si="174"/>
        <v>0</v>
      </c>
      <c r="K305" s="28">
        <f t="shared" si="175"/>
        <v>0</v>
      </c>
      <c r="L305" s="28"/>
      <c r="M305" s="35"/>
      <c r="N305" s="35"/>
    </row>
    <row r="306" spans="1:14" s="9" customFormat="1" ht="15.6" x14ac:dyDescent="0.3">
      <c r="A306" s="54" t="s">
        <v>32</v>
      </c>
      <c r="B306" s="65">
        <v>992</v>
      </c>
      <c r="C306" s="70" t="s">
        <v>46</v>
      </c>
      <c r="D306" s="65" t="s">
        <v>154</v>
      </c>
      <c r="E306" s="70" t="s">
        <v>27</v>
      </c>
      <c r="F306" s="26">
        <f>F313+F307</f>
        <v>700000</v>
      </c>
      <c r="G306" s="26">
        <f t="shared" ref="G306:H306" si="200">G313+G307</f>
        <v>777890</v>
      </c>
      <c r="H306" s="26">
        <f t="shared" si="200"/>
        <v>44360</v>
      </c>
      <c r="I306" s="26">
        <f t="shared" si="173"/>
        <v>733530</v>
      </c>
      <c r="J306" s="26">
        <f t="shared" si="174"/>
        <v>6.34</v>
      </c>
      <c r="K306" s="26">
        <f t="shared" si="175"/>
        <v>5.7</v>
      </c>
      <c r="L306" s="26"/>
      <c r="M306" s="35"/>
      <c r="N306" s="35"/>
    </row>
    <row r="307" spans="1:14" s="9" customFormat="1" ht="31.2" x14ac:dyDescent="0.3">
      <c r="A307" s="43" t="s">
        <v>609</v>
      </c>
      <c r="B307" s="17">
        <v>992</v>
      </c>
      <c r="C307" s="34" t="s">
        <v>608</v>
      </c>
      <c r="D307" s="17" t="s">
        <v>154</v>
      </c>
      <c r="E307" s="34" t="s">
        <v>27</v>
      </c>
      <c r="F307" s="20">
        <f>F308</f>
        <v>0</v>
      </c>
      <c r="G307" s="20">
        <f t="shared" ref="G307:H311" si="201">G308</f>
        <v>77890</v>
      </c>
      <c r="H307" s="20">
        <f t="shared" si="201"/>
        <v>0</v>
      </c>
      <c r="I307" s="20">
        <f t="shared" si="173"/>
        <v>77890</v>
      </c>
      <c r="J307" s="20" t="s">
        <v>668</v>
      </c>
      <c r="K307" s="20">
        <f t="shared" si="175"/>
        <v>0</v>
      </c>
      <c r="L307" s="20"/>
      <c r="M307" s="35"/>
      <c r="N307" s="35"/>
    </row>
    <row r="308" spans="1:14" s="9" customFormat="1" ht="46.8" x14ac:dyDescent="0.3">
      <c r="A308" s="57" t="s">
        <v>320</v>
      </c>
      <c r="B308" s="17">
        <v>992</v>
      </c>
      <c r="C308" s="34" t="s">
        <v>608</v>
      </c>
      <c r="D308" s="17" t="s">
        <v>155</v>
      </c>
      <c r="E308" s="34" t="s">
        <v>27</v>
      </c>
      <c r="F308" s="20">
        <f>F309</f>
        <v>0</v>
      </c>
      <c r="G308" s="20">
        <f t="shared" si="201"/>
        <v>77890</v>
      </c>
      <c r="H308" s="20">
        <f t="shared" si="201"/>
        <v>0</v>
      </c>
      <c r="I308" s="20">
        <f t="shared" si="173"/>
        <v>77890</v>
      </c>
      <c r="J308" s="20" t="s">
        <v>668</v>
      </c>
      <c r="K308" s="20">
        <f t="shared" si="175"/>
        <v>0</v>
      </c>
      <c r="L308" s="20"/>
      <c r="M308" s="35"/>
      <c r="N308" s="35"/>
    </row>
    <row r="309" spans="1:14" s="7" customFormat="1" ht="31.2" x14ac:dyDescent="0.25">
      <c r="A309" s="30" t="s">
        <v>318</v>
      </c>
      <c r="B309" s="17">
        <v>992</v>
      </c>
      <c r="C309" s="34" t="s">
        <v>608</v>
      </c>
      <c r="D309" s="17" t="s">
        <v>256</v>
      </c>
      <c r="E309" s="34" t="s">
        <v>27</v>
      </c>
      <c r="F309" s="20">
        <f>F310</f>
        <v>0</v>
      </c>
      <c r="G309" s="20">
        <f t="shared" si="201"/>
        <v>77890</v>
      </c>
      <c r="H309" s="20">
        <f t="shared" si="201"/>
        <v>0</v>
      </c>
      <c r="I309" s="20">
        <f t="shared" si="173"/>
        <v>77890</v>
      </c>
      <c r="J309" s="20" t="s">
        <v>668</v>
      </c>
      <c r="K309" s="20">
        <f t="shared" si="175"/>
        <v>0</v>
      </c>
      <c r="L309" s="20"/>
      <c r="M309" s="35"/>
      <c r="N309" s="35"/>
    </row>
    <row r="310" spans="1:14" s="7" customFormat="1" ht="15.6" x14ac:dyDescent="0.25">
      <c r="A310" s="30" t="s">
        <v>319</v>
      </c>
      <c r="B310" s="17">
        <v>992</v>
      </c>
      <c r="C310" s="34" t="s">
        <v>608</v>
      </c>
      <c r="D310" s="17" t="s">
        <v>253</v>
      </c>
      <c r="E310" s="34" t="s">
        <v>27</v>
      </c>
      <c r="F310" s="20">
        <f>F311</f>
        <v>0</v>
      </c>
      <c r="G310" s="20">
        <f t="shared" si="201"/>
        <v>77890</v>
      </c>
      <c r="H310" s="20">
        <f t="shared" si="201"/>
        <v>0</v>
      </c>
      <c r="I310" s="20">
        <f t="shared" si="173"/>
        <v>77890</v>
      </c>
      <c r="J310" s="20" t="s">
        <v>668</v>
      </c>
      <c r="K310" s="20">
        <f t="shared" si="175"/>
        <v>0</v>
      </c>
      <c r="L310" s="20"/>
      <c r="M310" s="35"/>
      <c r="N310" s="35"/>
    </row>
    <row r="311" spans="1:14" s="7" customFormat="1" ht="46.8" x14ac:dyDescent="0.25">
      <c r="A311" s="30" t="s">
        <v>610</v>
      </c>
      <c r="B311" s="17">
        <v>992</v>
      </c>
      <c r="C311" s="34" t="s">
        <v>608</v>
      </c>
      <c r="D311" s="17" t="s">
        <v>611</v>
      </c>
      <c r="E311" s="34" t="s">
        <v>27</v>
      </c>
      <c r="F311" s="22">
        <f>F312</f>
        <v>0</v>
      </c>
      <c r="G311" s="22">
        <f t="shared" si="201"/>
        <v>77890</v>
      </c>
      <c r="H311" s="22">
        <f t="shared" si="201"/>
        <v>0</v>
      </c>
      <c r="I311" s="22">
        <f t="shared" si="173"/>
        <v>77890</v>
      </c>
      <c r="J311" s="22" t="s">
        <v>668</v>
      </c>
      <c r="K311" s="22">
        <f t="shared" si="175"/>
        <v>0</v>
      </c>
      <c r="L311" s="22"/>
      <c r="M311" s="35"/>
      <c r="N311" s="35"/>
    </row>
    <row r="312" spans="1:14" s="7" customFormat="1" ht="31.2" x14ac:dyDescent="0.25">
      <c r="A312" s="30" t="s">
        <v>125</v>
      </c>
      <c r="B312" s="17">
        <v>992</v>
      </c>
      <c r="C312" s="34" t="s">
        <v>608</v>
      </c>
      <c r="D312" s="17" t="s">
        <v>611</v>
      </c>
      <c r="E312" s="17">
        <v>240</v>
      </c>
      <c r="F312" s="22">
        <v>0</v>
      </c>
      <c r="G312" s="22">
        <v>77890</v>
      </c>
      <c r="H312" s="22">
        <v>0</v>
      </c>
      <c r="I312" s="22">
        <f t="shared" si="173"/>
        <v>77890</v>
      </c>
      <c r="J312" s="22" t="s">
        <v>668</v>
      </c>
      <c r="K312" s="22">
        <f t="shared" si="175"/>
        <v>0</v>
      </c>
      <c r="L312" s="22"/>
      <c r="M312" s="35"/>
      <c r="N312" s="35"/>
    </row>
    <row r="313" spans="1:14" s="9" customFormat="1" ht="15.6" x14ac:dyDescent="0.3">
      <c r="A313" s="43" t="s">
        <v>34</v>
      </c>
      <c r="B313" s="17">
        <v>992</v>
      </c>
      <c r="C313" s="34" t="s">
        <v>91</v>
      </c>
      <c r="D313" s="17" t="s">
        <v>154</v>
      </c>
      <c r="E313" s="34" t="s">
        <v>27</v>
      </c>
      <c r="F313" s="20">
        <f>F314</f>
        <v>700000</v>
      </c>
      <c r="G313" s="20">
        <f t="shared" ref="G313:H313" si="202">G314</f>
        <v>700000</v>
      </c>
      <c r="H313" s="20">
        <f t="shared" si="202"/>
        <v>44360</v>
      </c>
      <c r="I313" s="20">
        <f t="shared" si="173"/>
        <v>655640</v>
      </c>
      <c r="J313" s="20">
        <f t="shared" si="174"/>
        <v>6.34</v>
      </c>
      <c r="K313" s="20">
        <f t="shared" si="175"/>
        <v>6.34</v>
      </c>
      <c r="L313" s="20"/>
      <c r="M313" s="35"/>
      <c r="N313" s="35"/>
    </row>
    <row r="314" spans="1:14" s="7" customFormat="1" ht="78" x14ac:dyDescent="0.3">
      <c r="A314" s="66" t="s">
        <v>503</v>
      </c>
      <c r="B314" s="16">
        <v>992</v>
      </c>
      <c r="C314" s="34" t="s">
        <v>91</v>
      </c>
      <c r="D314" s="44" t="s">
        <v>504</v>
      </c>
      <c r="E314" s="44" t="s">
        <v>27</v>
      </c>
      <c r="F314" s="24">
        <f>F315+F325</f>
        <v>700000</v>
      </c>
      <c r="G314" s="24">
        <f t="shared" ref="G314:H314" si="203">G315+G325</f>
        <v>700000</v>
      </c>
      <c r="H314" s="24">
        <f t="shared" si="203"/>
        <v>44360</v>
      </c>
      <c r="I314" s="24">
        <f t="shared" si="173"/>
        <v>655640</v>
      </c>
      <c r="J314" s="24">
        <f t="shared" si="174"/>
        <v>6.34</v>
      </c>
      <c r="K314" s="24">
        <f t="shared" si="175"/>
        <v>6.34</v>
      </c>
      <c r="L314" s="24"/>
      <c r="M314" s="35"/>
      <c r="N314" s="35"/>
    </row>
    <row r="315" spans="1:14" s="7" customFormat="1" ht="46.8" x14ac:dyDescent="0.3">
      <c r="A315" s="66" t="s">
        <v>505</v>
      </c>
      <c r="B315" s="16">
        <v>992</v>
      </c>
      <c r="C315" s="34" t="s">
        <v>91</v>
      </c>
      <c r="D315" s="44" t="s">
        <v>506</v>
      </c>
      <c r="E315" s="44" t="s">
        <v>27</v>
      </c>
      <c r="F315" s="24">
        <f>F316+F319+F322</f>
        <v>400000</v>
      </c>
      <c r="G315" s="24">
        <f t="shared" ref="G315:H315" si="204">G316+G319+G322</f>
        <v>400000</v>
      </c>
      <c r="H315" s="24">
        <f t="shared" si="204"/>
        <v>37160</v>
      </c>
      <c r="I315" s="24">
        <f t="shared" si="173"/>
        <v>362840</v>
      </c>
      <c r="J315" s="24">
        <f t="shared" si="174"/>
        <v>9.2899999999999991</v>
      </c>
      <c r="K315" s="24">
        <f t="shared" si="175"/>
        <v>9.2899999999999991</v>
      </c>
      <c r="L315" s="24"/>
      <c r="M315" s="35"/>
      <c r="N315" s="35"/>
    </row>
    <row r="316" spans="1:14" s="7" customFormat="1" ht="62.4" x14ac:dyDescent="0.3">
      <c r="A316" s="66" t="s">
        <v>507</v>
      </c>
      <c r="B316" s="16">
        <v>992</v>
      </c>
      <c r="C316" s="34" t="s">
        <v>91</v>
      </c>
      <c r="D316" s="44" t="s">
        <v>508</v>
      </c>
      <c r="E316" s="44" t="s">
        <v>27</v>
      </c>
      <c r="F316" s="24">
        <f>F317</f>
        <v>250000</v>
      </c>
      <c r="G316" s="24">
        <f t="shared" ref="G316:H317" si="205">G317</f>
        <v>250000</v>
      </c>
      <c r="H316" s="24">
        <f t="shared" si="205"/>
        <v>20660</v>
      </c>
      <c r="I316" s="24">
        <f t="shared" si="173"/>
        <v>229340</v>
      </c>
      <c r="J316" s="24">
        <f t="shared" si="174"/>
        <v>8.26</v>
      </c>
      <c r="K316" s="24">
        <f t="shared" si="175"/>
        <v>8.26</v>
      </c>
      <c r="L316" s="24"/>
      <c r="M316" s="35"/>
      <c r="N316" s="35"/>
    </row>
    <row r="317" spans="1:14" s="9" customFormat="1" ht="31.2" x14ac:dyDescent="0.3">
      <c r="A317" s="30" t="s">
        <v>515</v>
      </c>
      <c r="B317" s="17">
        <v>992</v>
      </c>
      <c r="C317" s="34" t="s">
        <v>91</v>
      </c>
      <c r="D317" s="17" t="s">
        <v>509</v>
      </c>
      <c r="E317" s="34" t="s">
        <v>27</v>
      </c>
      <c r="F317" s="20">
        <f>F318</f>
        <v>250000</v>
      </c>
      <c r="G317" s="20">
        <f t="shared" si="205"/>
        <v>250000</v>
      </c>
      <c r="H317" s="20">
        <f t="shared" si="205"/>
        <v>20660</v>
      </c>
      <c r="I317" s="20">
        <f t="shared" si="173"/>
        <v>229340</v>
      </c>
      <c r="J317" s="20">
        <f t="shared" si="174"/>
        <v>8.26</v>
      </c>
      <c r="K317" s="20">
        <f t="shared" si="175"/>
        <v>8.26</v>
      </c>
      <c r="L317" s="20"/>
      <c r="M317" s="35"/>
      <c r="N317" s="35"/>
    </row>
    <row r="318" spans="1:14" s="9" customFormat="1" ht="31.2" x14ac:dyDescent="0.3">
      <c r="A318" s="33" t="s">
        <v>125</v>
      </c>
      <c r="B318" s="17">
        <v>992</v>
      </c>
      <c r="C318" s="34" t="s">
        <v>91</v>
      </c>
      <c r="D318" s="17" t="s">
        <v>509</v>
      </c>
      <c r="E318" s="34" t="s">
        <v>126</v>
      </c>
      <c r="F318" s="24">
        <v>250000</v>
      </c>
      <c r="G318" s="24">
        <v>250000</v>
      </c>
      <c r="H318" s="24">
        <v>20660</v>
      </c>
      <c r="I318" s="24">
        <f t="shared" si="173"/>
        <v>229340</v>
      </c>
      <c r="J318" s="24">
        <f t="shared" si="174"/>
        <v>8.26</v>
      </c>
      <c r="K318" s="24">
        <f t="shared" si="175"/>
        <v>8.26</v>
      </c>
      <c r="L318" s="24"/>
      <c r="M318" s="35"/>
      <c r="N318" s="35"/>
    </row>
    <row r="319" spans="1:14" s="9" customFormat="1" ht="46.8" x14ac:dyDescent="0.3">
      <c r="A319" s="30" t="s">
        <v>517</v>
      </c>
      <c r="B319" s="17">
        <v>992</v>
      </c>
      <c r="C319" s="34" t="s">
        <v>91</v>
      </c>
      <c r="D319" s="17" t="s">
        <v>518</v>
      </c>
      <c r="E319" s="34" t="s">
        <v>27</v>
      </c>
      <c r="F319" s="20">
        <f>F320</f>
        <v>50000</v>
      </c>
      <c r="G319" s="20">
        <f t="shared" ref="G319:H320" si="206">G320</f>
        <v>50000</v>
      </c>
      <c r="H319" s="20">
        <f t="shared" si="206"/>
        <v>0</v>
      </c>
      <c r="I319" s="20">
        <f t="shared" si="173"/>
        <v>50000</v>
      </c>
      <c r="J319" s="20">
        <f t="shared" si="174"/>
        <v>0</v>
      </c>
      <c r="K319" s="20">
        <f t="shared" si="175"/>
        <v>0</v>
      </c>
      <c r="L319" s="20"/>
      <c r="M319" s="35"/>
      <c r="N319" s="35"/>
    </row>
    <row r="320" spans="1:14" s="9" customFormat="1" ht="22.2" customHeight="1" x14ac:dyDescent="0.3">
      <c r="A320" s="30" t="s">
        <v>516</v>
      </c>
      <c r="B320" s="17">
        <v>992</v>
      </c>
      <c r="C320" s="34" t="s">
        <v>91</v>
      </c>
      <c r="D320" s="17" t="s">
        <v>519</v>
      </c>
      <c r="E320" s="34" t="s">
        <v>27</v>
      </c>
      <c r="F320" s="20">
        <f>F321</f>
        <v>50000</v>
      </c>
      <c r="G320" s="20">
        <f t="shared" si="206"/>
        <v>50000</v>
      </c>
      <c r="H320" s="20">
        <f t="shared" si="206"/>
        <v>0</v>
      </c>
      <c r="I320" s="20">
        <f t="shared" si="173"/>
        <v>50000</v>
      </c>
      <c r="J320" s="20">
        <f t="shared" si="174"/>
        <v>0</v>
      </c>
      <c r="K320" s="20">
        <f t="shared" si="175"/>
        <v>0</v>
      </c>
      <c r="L320" s="20"/>
      <c r="M320" s="35"/>
      <c r="N320" s="35"/>
    </row>
    <row r="321" spans="1:14" s="9" customFormat="1" ht="31.2" x14ac:dyDescent="0.3">
      <c r="A321" s="33" t="s">
        <v>125</v>
      </c>
      <c r="B321" s="17">
        <v>992</v>
      </c>
      <c r="C321" s="34" t="s">
        <v>91</v>
      </c>
      <c r="D321" s="17" t="s">
        <v>519</v>
      </c>
      <c r="E321" s="34" t="s">
        <v>126</v>
      </c>
      <c r="F321" s="24">
        <v>50000</v>
      </c>
      <c r="G321" s="24">
        <v>50000</v>
      </c>
      <c r="H321" s="24">
        <v>0</v>
      </c>
      <c r="I321" s="24">
        <f t="shared" si="173"/>
        <v>50000</v>
      </c>
      <c r="J321" s="24">
        <f t="shared" si="174"/>
        <v>0</v>
      </c>
      <c r="K321" s="24">
        <f t="shared" si="175"/>
        <v>0</v>
      </c>
      <c r="L321" s="24"/>
      <c r="M321" s="35"/>
      <c r="N321" s="35"/>
    </row>
    <row r="322" spans="1:14" s="9" customFormat="1" ht="31.2" x14ac:dyDescent="0.3">
      <c r="A322" s="30" t="s">
        <v>523</v>
      </c>
      <c r="B322" s="17">
        <v>992</v>
      </c>
      <c r="C322" s="34" t="s">
        <v>91</v>
      </c>
      <c r="D322" s="17" t="s">
        <v>520</v>
      </c>
      <c r="E322" s="34" t="s">
        <v>27</v>
      </c>
      <c r="F322" s="20">
        <f>F323</f>
        <v>100000</v>
      </c>
      <c r="G322" s="20">
        <f t="shared" ref="G322:H323" si="207">G323</f>
        <v>100000</v>
      </c>
      <c r="H322" s="20">
        <f t="shared" si="207"/>
        <v>16500</v>
      </c>
      <c r="I322" s="20">
        <f t="shared" si="173"/>
        <v>83500</v>
      </c>
      <c r="J322" s="20">
        <f t="shared" si="174"/>
        <v>16.5</v>
      </c>
      <c r="K322" s="20">
        <f t="shared" si="175"/>
        <v>16.5</v>
      </c>
      <c r="L322" s="20"/>
      <c r="M322" s="35"/>
      <c r="N322" s="35"/>
    </row>
    <row r="323" spans="1:14" s="9" customFormat="1" ht="22.2" customHeight="1" x14ac:dyDescent="0.3">
      <c r="A323" s="30" t="s">
        <v>112</v>
      </c>
      <c r="B323" s="17">
        <v>992</v>
      </c>
      <c r="C323" s="34" t="s">
        <v>91</v>
      </c>
      <c r="D323" s="17" t="s">
        <v>521</v>
      </c>
      <c r="E323" s="34" t="s">
        <v>27</v>
      </c>
      <c r="F323" s="20">
        <f>F324</f>
        <v>100000</v>
      </c>
      <c r="G323" s="20">
        <f t="shared" si="207"/>
        <v>100000</v>
      </c>
      <c r="H323" s="20">
        <f t="shared" si="207"/>
        <v>16500</v>
      </c>
      <c r="I323" s="20">
        <f t="shared" si="173"/>
        <v>83500</v>
      </c>
      <c r="J323" s="20">
        <f t="shared" si="174"/>
        <v>16.5</v>
      </c>
      <c r="K323" s="20">
        <f t="shared" si="175"/>
        <v>16.5</v>
      </c>
      <c r="L323" s="20"/>
      <c r="M323" s="35"/>
      <c r="N323" s="35"/>
    </row>
    <row r="324" spans="1:14" s="9" customFormat="1" ht="31.2" x14ac:dyDescent="0.3">
      <c r="A324" s="33" t="s">
        <v>125</v>
      </c>
      <c r="B324" s="17">
        <v>992</v>
      </c>
      <c r="C324" s="34" t="s">
        <v>91</v>
      </c>
      <c r="D324" s="17" t="s">
        <v>521</v>
      </c>
      <c r="E324" s="34" t="s">
        <v>126</v>
      </c>
      <c r="F324" s="24">
        <v>100000</v>
      </c>
      <c r="G324" s="24">
        <v>100000</v>
      </c>
      <c r="H324" s="24">
        <v>16500</v>
      </c>
      <c r="I324" s="24">
        <f t="shared" si="173"/>
        <v>83500</v>
      </c>
      <c r="J324" s="24">
        <f t="shared" si="174"/>
        <v>16.5</v>
      </c>
      <c r="K324" s="24">
        <f t="shared" si="175"/>
        <v>16.5</v>
      </c>
      <c r="L324" s="24"/>
      <c r="M324" s="35"/>
      <c r="N324" s="35"/>
    </row>
    <row r="325" spans="1:14" s="7" customFormat="1" ht="62.4" x14ac:dyDescent="0.3">
      <c r="A325" s="66" t="s">
        <v>511</v>
      </c>
      <c r="B325" s="16">
        <v>992</v>
      </c>
      <c r="C325" s="34" t="s">
        <v>91</v>
      </c>
      <c r="D325" s="44" t="s">
        <v>512</v>
      </c>
      <c r="E325" s="44" t="s">
        <v>27</v>
      </c>
      <c r="F325" s="24">
        <f>F326</f>
        <v>300000</v>
      </c>
      <c r="G325" s="24">
        <f t="shared" ref="G325:H326" si="208">G326</f>
        <v>300000</v>
      </c>
      <c r="H325" s="24">
        <f t="shared" si="208"/>
        <v>7200</v>
      </c>
      <c r="I325" s="24">
        <f t="shared" si="173"/>
        <v>292800</v>
      </c>
      <c r="J325" s="24">
        <f t="shared" si="174"/>
        <v>2.4</v>
      </c>
      <c r="K325" s="24">
        <f t="shared" si="175"/>
        <v>2.4</v>
      </c>
      <c r="L325" s="24"/>
      <c r="M325" s="35"/>
      <c r="N325" s="35"/>
    </row>
    <row r="326" spans="1:14" s="7" customFormat="1" ht="68.400000000000006" customHeight="1" x14ac:dyDescent="0.3">
      <c r="A326" s="66" t="s">
        <v>513</v>
      </c>
      <c r="B326" s="16">
        <v>992</v>
      </c>
      <c r="C326" s="34" t="s">
        <v>91</v>
      </c>
      <c r="D326" s="44" t="s">
        <v>510</v>
      </c>
      <c r="E326" s="44" t="s">
        <v>27</v>
      </c>
      <c r="F326" s="24">
        <f>F327</f>
        <v>300000</v>
      </c>
      <c r="G326" s="24">
        <f t="shared" si="208"/>
        <v>300000</v>
      </c>
      <c r="H326" s="24">
        <f t="shared" si="208"/>
        <v>7200</v>
      </c>
      <c r="I326" s="24">
        <f t="shared" si="173"/>
        <v>292800</v>
      </c>
      <c r="J326" s="24">
        <f t="shared" si="174"/>
        <v>2.4</v>
      </c>
      <c r="K326" s="24">
        <f t="shared" si="175"/>
        <v>2.4</v>
      </c>
      <c r="L326" s="24"/>
      <c r="M326" s="35"/>
      <c r="N326" s="35"/>
    </row>
    <row r="327" spans="1:14" s="9" customFormat="1" ht="31.2" x14ac:dyDescent="0.3">
      <c r="A327" s="30" t="s">
        <v>514</v>
      </c>
      <c r="B327" s="17">
        <v>992</v>
      </c>
      <c r="C327" s="34" t="s">
        <v>91</v>
      </c>
      <c r="D327" s="17" t="s">
        <v>522</v>
      </c>
      <c r="E327" s="34" t="s">
        <v>27</v>
      </c>
      <c r="F327" s="20">
        <f>F328+F329</f>
        <v>300000</v>
      </c>
      <c r="G327" s="20">
        <f t="shared" ref="G327:H327" si="209">G328+G329</f>
        <v>300000</v>
      </c>
      <c r="H327" s="20">
        <f t="shared" si="209"/>
        <v>7200</v>
      </c>
      <c r="I327" s="20">
        <f t="shared" si="173"/>
        <v>292800</v>
      </c>
      <c r="J327" s="20">
        <f t="shared" si="174"/>
        <v>2.4</v>
      </c>
      <c r="K327" s="20">
        <f t="shared" si="175"/>
        <v>2.4</v>
      </c>
      <c r="L327" s="20"/>
      <c r="M327" s="35"/>
      <c r="N327" s="35"/>
    </row>
    <row r="328" spans="1:14" s="9" customFormat="1" ht="31.2" x14ac:dyDescent="0.3">
      <c r="A328" s="33" t="s">
        <v>125</v>
      </c>
      <c r="B328" s="17">
        <v>992</v>
      </c>
      <c r="C328" s="34" t="s">
        <v>91</v>
      </c>
      <c r="D328" s="17" t="s">
        <v>522</v>
      </c>
      <c r="E328" s="34" t="s">
        <v>126</v>
      </c>
      <c r="F328" s="24">
        <v>150000</v>
      </c>
      <c r="G328" s="24">
        <v>150000</v>
      </c>
      <c r="H328" s="24">
        <v>7200</v>
      </c>
      <c r="I328" s="24">
        <f t="shared" si="173"/>
        <v>142800</v>
      </c>
      <c r="J328" s="24">
        <f t="shared" si="174"/>
        <v>4.8</v>
      </c>
      <c r="K328" s="24">
        <f t="shared" si="175"/>
        <v>4.8</v>
      </c>
      <c r="L328" s="24"/>
      <c r="M328" s="35"/>
      <c r="N328" s="35"/>
    </row>
    <row r="329" spans="1:14" s="9" customFormat="1" ht="15.6" x14ac:dyDescent="0.3">
      <c r="A329" s="30" t="s">
        <v>188</v>
      </c>
      <c r="B329" s="17">
        <v>992</v>
      </c>
      <c r="C329" s="34" t="s">
        <v>91</v>
      </c>
      <c r="D329" s="17" t="s">
        <v>522</v>
      </c>
      <c r="E329" s="34" t="s">
        <v>189</v>
      </c>
      <c r="F329" s="20">
        <f>F328</f>
        <v>150000</v>
      </c>
      <c r="G329" s="20">
        <f t="shared" ref="G329" si="210">G328</f>
        <v>150000</v>
      </c>
      <c r="H329" s="20">
        <v>0</v>
      </c>
      <c r="I329" s="20">
        <f t="shared" si="173"/>
        <v>150000</v>
      </c>
      <c r="J329" s="20">
        <f t="shared" si="174"/>
        <v>0</v>
      </c>
      <c r="K329" s="20">
        <f t="shared" si="175"/>
        <v>0</v>
      </c>
      <c r="L329" s="20"/>
      <c r="M329" s="35"/>
      <c r="N329" s="35"/>
    </row>
    <row r="330" spans="1:14" s="9" customFormat="1" ht="15.6" x14ac:dyDescent="0.3">
      <c r="A330" s="54" t="s">
        <v>94</v>
      </c>
      <c r="B330" s="55">
        <v>992</v>
      </c>
      <c r="C330" s="56" t="s">
        <v>96</v>
      </c>
      <c r="D330" s="55" t="s">
        <v>154</v>
      </c>
      <c r="E330" s="56" t="s">
        <v>27</v>
      </c>
      <c r="F330" s="21">
        <f>F331</f>
        <v>300000</v>
      </c>
      <c r="G330" s="21">
        <f t="shared" ref="G330:H334" si="211">G331</f>
        <v>300000</v>
      </c>
      <c r="H330" s="21">
        <f t="shared" si="211"/>
        <v>16520</v>
      </c>
      <c r="I330" s="21">
        <f t="shared" si="173"/>
        <v>283480</v>
      </c>
      <c r="J330" s="21">
        <f t="shared" si="174"/>
        <v>5.51</v>
      </c>
      <c r="K330" s="21">
        <f t="shared" si="175"/>
        <v>5.51</v>
      </c>
      <c r="L330" s="21"/>
      <c r="M330" s="35"/>
      <c r="N330" s="35"/>
    </row>
    <row r="331" spans="1:14" s="9" customFormat="1" ht="15.6" x14ac:dyDescent="0.3">
      <c r="A331" s="30" t="s">
        <v>95</v>
      </c>
      <c r="B331" s="17">
        <v>992</v>
      </c>
      <c r="C331" s="34" t="s">
        <v>97</v>
      </c>
      <c r="D331" s="17" t="s">
        <v>154</v>
      </c>
      <c r="E331" s="34" t="s">
        <v>27</v>
      </c>
      <c r="F331" s="20">
        <f>F332</f>
        <v>300000</v>
      </c>
      <c r="G331" s="20">
        <f t="shared" si="211"/>
        <v>300000</v>
      </c>
      <c r="H331" s="20">
        <f t="shared" si="211"/>
        <v>16520</v>
      </c>
      <c r="I331" s="20">
        <f t="shared" si="173"/>
        <v>283480</v>
      </c>
      <c r="J331" s="20">
        <f t="shared" si="174"/>
        <v>5.51</v>
      </c>
      <c r="K331" s="20">
        <f t="shared" si="175"/>
        <v>5.51</v>
      </c>
      <c r="L331" s="20"/>
      <c r="M331" s="35"/>
      <c r="N331" s="35"/>
    </row>
    <row r="332" spans="1:14" s="9" customFormat="1" ht="62.4" x14ac:dyDescent="0.3">
      <c r="A332" s="30" t="s">
        <v>335</v>
      </c>
      <c r="B332" s="17">
        <v>992</v>
      </c>
      <c r="C332" s="34" t="s">
        <v>97</v>
      </c>
      <c r="D332" s="17" t="s">
        <v>2</v>
      </c>
      <c r="E332" s="34" t="s">
        <v>27</v>
      </c>
      <c r="F332" s="24">
        <f>F333</f>
        <v>300000</v>
      </c>
      <c r="G332" s="24">
        <f t="shared" si="211"/>
        <v>300000</v>
      </c>
      <c r="H332" s="24">
        <f t="shared" si="211"/>
        <v>16520</v>
      </c>
      <c r="I332" s="24">
        <f t="shared" si="173"/>
        <v>283480</v>
      </c>
      <c r="J332" s="24">
        <f t="shared" si="174"/>
        <v>5.51</v>
      </c>
      <c r="K332" s="24">
        <f t="shared" si="175"/>
        <v>5.51</v>
      </c>
      <c r="L332" s="24"/>
      <c r="M332" s="35"/>
      <c r="N332" s="35"/>
    </row>
    <row r="333" spans="1:14" s="9" customFormat="1" ht="46.8" x14ac:dyDescent="0.3">
      <c r="A333" s="50" t="s">
        <v>336</v>
      </c>
      <c r="B333" s="17">
        <v>992</v>
      </c>
      <c r="C333" s="34" t="s">
        <v>97</v>
      </c>
      <c r="D333" s="17" t="s">
        <v>3</v>
      </c>
      <c r="E333" s="34" t="s">
        <v>27</v>
      </c>
      <c r="F333" s="24">
        <f>F334</f>
        <v>300000</v>
      </c>
      <c r="G333" s="24">
        <f t="shared" si="211"/>
        <v>300000</v>
      </c>
      <c r="H333" s="24">
        <f t="shared" si="211"/>
        <v>16520</v>
      </c>
      <c r="I333" s="24">
        <f t="shared" si="173"/>
        <v>283480</v>
      </c>
      <c r="J333" s="24">
        <f t="shared" si="174"/>
        <v>5.51</v>
      </c>
      <c r="K333" s="24">
        <f t="shared" si="175"/>
        <v>5.51</v>
      </c>
      <c r="L333" s="24"/>
      <c r="M333" s="35"/>
      <c r="N333" s="35"/>
    </row>
    <row r="334" spans="1:14" s="9" customFormat="1" ht="31.2" x14ac:dyDescent="0.3">
      <c r="A334" s="33" t="s">
        <v>337</v>
      </c>
      <c r="B334" s="17">
        <v>992</v>
      </c>
      <c r="C334" s="34" t="s">
        <v>97</v>
      </c>
      <c r="D334" s="17" t="s">
        <v>4</v>
      </c>
      <c r="E334" s="34" t="s">
        <v>27</v>
      </c>
      <c r="F334" s="24">
        <f>F335</f>
        <v>300000</v>
      </c>
      <c r="G334" s="24">
        <f t="shared" si="211"/>
        <v>300000</v>
      </c>
      <c r="H334" s="24">
        <f t="shared" si="211"/>
        <v>16520</v>
      </c>
      <c r="I334" s="24">
        <f t="shared" ref="I334:I397" si="212">$G334-$H334</f>
        <v>283480</v>
      </c>
      <c r="J334" s="24">
        <f t="shared" ref="J334:J397" si="213">$H334/$F334*100</f>
        <v>5.51</v>
      </c>
      <c r="K334" s="24">
        <f t="shared" ref="K334:K393" si="214">$H334/$G334*100</f>
        <v>5.51</v>
      </c>
      <c r="L334" s="24"/>
      <c r="M334" s="35"/>
      <c r="N334" s="35"/>
    </row>
    <row r="335" spans="1:14" s="9" customFormat="1" ht="31.2" x14ac:dyDescent="0.3">
      <c r="A335" s="33" t="s">
        <v>125</v>
      </c>
      <c r="B335" s="17">
        <v>992</v>
      </c>
      <c r="C335" s="34" t="s">
        <v>97</v>
      </c>
      <c r="D335" s="17" t="s">
        <v>4</v>
      </c>
      <c r="E335" s="34" t="s">
        <v>126</v>
      </c>
      <c r="F335" s="24">
        <v>300000</v>
      </c>
      <c r="G335" s="24">
        <v>300000</v>
      </c>
      <c r="H335" s="24">
        <v>16520</v>
      </c>
      <c r="I335" s="24">
        <f t="shared" si="212"/>
        <v>283480</v>
      </c>
      <c r="J335" s="24">
        <f t="shared" si="213"/>
        <v>5.51</v>
      </c>
      <c r="K335" s="24">
        <f t="shared" si="214"/>
        <v>5.51</v>
      </c>
      <c r="L335" s="24"/>
      <c r="M335" s="35"/>
      <c r="N335" s="35"/>
    </row>
    <row r="336" spans="1:14" s="9" customFormat="1" ht="15.6" x14ac:dyDescent="0.3">
      <c r="A336" s="54" t="s">
        <v>61</v>
      </c>
      <c r="B336" s="55">
        <v>992</v>
      </c>
      <c r="C336" s="71" t="s">
        <v>62</v>
      </c>
      <c r="D336" s="71" t="s">
        <v>154</v>
      </c>
      <c r="E336" s="71" t="s">
        <v>27</v>
      </c>
      <c r="F336" s="21">
        <f>F337+F343+F363</f>
        <v>70448151.569999993</v>
      </c>
      <c r="G336" s="21">
        <f t="shared" ref="G336:H336" si="215">G337+G343+G363</f>
        <v>28607804.390000001</v>
      </c>
      <c r="H336" s="21">
        <f t="shared" si="215"/>
        <v>5865453.7999999998</v>
      </c>
      <c r="I336" s="21">
        <f t="shared" si="212"/>
        <v>22742350.59</v>
      </c>
      <c r="J336" s="21">
        <f t="shared" si="213"/>
        <v>8.33</v>
      </c>
      <c r="K336" s="21">
        <f t="shared" si="214"/>
        <v>20.5</v>
      </c>
      <c r="L336" s="21"/>
      <c r="M336" s="35"/>
      <c r="N336" s="35"/>
    </row>
    <row r="337" spans="1:14" s="9" customFormat="1" ht="15.6" x14ac:dyDescent="0.3">
      <c r="A337" s="50" t="s">
        <v>35</v>
      </c>
      <c r="B337" s="17">
        <v>992</v>
      </c>
      <c r="C337" s="41" t="s">
        <v>50</v>
      </c>
      <c r="D337" s="41" t="s">
        <v>154</v>
      </c>
      <c r="E337" s="41" t="s">
        <v>27</v>
      </c>
      <c r="F337" s="24">
        <f>F338</f>
        <v>3723000</v>
      </c>
      <c r="G337" s="24">
        <f t="shared" ref="G337:H338" si="216">G338</f>
        <v>3723000</v>
      </c>
      <c r="H337" s="24">
        <f t="shared" si="216"/>
        <v>1104074.97</v>
      </c>
      <c r="I337" s="24">
        <f t="shared" si="212"/>
        <v>2618925.0299999998</v>
      </c>
      <c r="J337" s="24">
        <f t="shared" si="213"/>
        <v>29.66</v>
      </c>
      <c r="K337" s="24">
        <f t="shared" si="214"/>
        <v>29.66</v>
      </c>
      <c r="L337" s="24"/>
      <c r="M337" s="35"/>
      <c r="N337" s="35"/>
    </row>
    <row r="338" spans="1:14" s="9" customFormat="1" ht="46.8" x14ac:dyDescent="0.3">
      <c r="A338" s="43" t="s">
        <v>298</v>
      </c>
      <c r="B338" s="17">
        <v>992</v>
      </c>
      <c r="C338" s="41" t="s">
        <v>50</v>
      </c>
      <c r="D338" s="41" t="s">
        <v>5</v>
      </c>
      <c r="E338" s="41" t="s">
        <v>27</v>
      </c>
      <c r="F338" s="24">
        <f>F339</f>
        <v>3723000</v>
      </c>
      <c r="G338" s="24">
        <f t="shared" si="216"/>
        <v>3723000</v>
      </c>
      <c r="H338" s="24">
        <f t="shared" si="216"/>
        <v>1104074.97</v>
      </c>
      <c r="I338" s="24">
        <f t="shared" si="212"/>
        <v>2618925.0299999998</v>
      </c>
      <c r="J338" s="24">
        <f t="shared" si="213"/>
        <v>29.66</v>
      </c>
      <c r="K338" s="24">
        <f t="shared" si="214"/>
        <v>29.66</v>
      </c>
      <c r="L338" s="24"/>
      <c r="M338" s="35"/>
      <c r="N338" s="35"/>
    </row>
    <row r="339" spans="1:14" s="9" customFormat="1" ht="31.2" x14ac:dyDescent="0.3">
      <c r="A339" s="61" t="s">
        <v>339</v>
      </c>
      <c r="B339" s="17">
        <v>992</v>
      </c>
      <c r="C339" s="41" t="s">
        <v>50</v>
      </c>
      <c r="D339" s="41" t="s">
        <v>338</v>
      </c>
      <c r="E339" s="41" t="s">
        <v>27</v>
      </c>
      <c r="F339" s="24">
        <f>F341</f>
        <v>3723000</v>
      </c>
      <c r="G339" s="24">
        <f t="shared" ref="G339:H339" si="217">G341</f>
        <v>3723000</v>
      </c>
      <c r="H339" s="24">
        <f t="shared" si="217"/>
        <v>1104074.97</v>
      </c>
      <c r="I339" s="24">
        <f t="shared" si="212"/>
        <v>2618925.0299999998</v>
      </c>
      <c r="J339" s="24">
        <f t="shared" si="213"/>
        <v>29.66</v>
      </c>
      <c r="K339" s="24">
        <f t="shared" si="214"/>
        <v>29.66</v>
      </c>
      <c r="L339" s="24"/>
      <c r="M339" s="35"/>
      <c r="N339" s="35"/>
    </row>
    <row r="340" spans="1:14" s="9" customFormat="1" ht="31.2" x14ac:dyDescent="0.3">
      <c r="A340" s="30" t="s">
        <v>342</v>
      </c>
      <c r="B340" s="17">
        <v>992</v>
      </c>
      <c r="C340" s="34">
        <v>1001</v>
      </c>
      <c r="D340" s="34" t="s">
        <v>341</v>
      </c>
      <c r="E340" s="34" t="s">
        <v>27</v>
      </c>
      <c r="F340" s="24">
        <f>F341</f>
        <v>3723000</v>
      </c>
      <c r="G340" s="24">
        <f t="shared" ref="G340:H341" si="218">G341</f>
        <v>3723000</v>
      </c>
      <c r="H340" s="24">
        <f t="shared" si="218"/>
        <v>1104074.97</v>
      </c>
      <c r="I340" s="24">
        <f t="shared" si="212"/>
        <v>2618925.0299999998</v>
      </c>
      <c r="J340" s="24">
        <f t="shared" si="213"/>
        <v>29.66</v>
      </c>
      <c r="K340" s="24">
        <f t="shared" si="214"/>
        <v>29.66</v>
      </c>
      <c r="L340" s="24"/>
      <c r="M340" s="35"/>
      <c r="N340" s="35"/>
    </row>
    <row r="341" spans="1:14" s="9" customFormat="1" ht="15.6" x14ac:dyDescent="0.3">
      <c r="A341" s="30" t="s">
        <v>113</v>
      </c>
      <c r="B341" s="17">
        <v>992</v>
      </c>
      <c r="C341" s="34">
        <v>1001</v>
      </c>
      <c r="D341" s="34" t="s">
        <v>340</v>
      </c>
      <c r="E341" s="34" t="s">
        <v>27</v>
      </c>
      <c r="F341" s="24">
        <f>F342</f>
        <v>3723000</v>
      </c>
      <c r="G341" s="24">
        <f t="shared" si="218"/>
        <v>3723000</v>
      </c>
      <c r="H341" s="24">
        <f t="shared" si="218"/>
        <v>1104074.97</v>
      </c>
      <c r="I341" s="24">
        <f t="shared" si="212"/>
        <v>2618925.0299999998</v>
      </c>
      <c r="J341" s="24">
        <f t="shared" si="213"/>
        <v>29.66</v>
      </c>
      <c r="K341" s="24">
        <f t="shared" si="214"/>
        <v>29.66</v>
      </c>
      <c r="L341" s="24"/>
      <c r="M341" s="35"/>
      <c r="N341" s="35"/>
    </row>
    <row r="342" spans="1:14" s="9" customFormat="1" ht="31.2" x14ac:dyDescent="0.3">
      <c r="A342" s="30" t="s">
        <v>134</v>
      </c>
      <c r="B342" s="17">
        <v>992</v>
      </c>
      <c r="C342" s="34">
        <v>1001</v>
      </c>
      <c r="D342" s="34" t="s">
        <v>340</v>
      </c>
      <c r="E342" s="34" t="s">
        <v>135</v>
      </c>
      <c r="F342" s="24">
        <v>3723000</v>
      </c>
      <c r="G342" s="24">
        <v>3723000</v>
      </c>
      <c r="H342" s="24">
        <v>1104074.97</v>
      </c>
      <c r="I342" s="24">
        <f t="shared" si="212"/>
        <v>2618925.0299999998</v>
      </c>
      <c r="J342" s="24">
        <f t="shared" si="213"/>
        <v>29.66</v>
      </c>
      <c r="K342" s="24">
        <f t="shared" si="214"/>
        <v>29.66</v>
      </c>
      <c r="L342" s="24"/>
      <c r="M342" s="35"/>
      <c r="N342" s="35"/>
    </row>
    <row r="343" spans="1:14" s="9" customFormat="1" ht="15.6" x14ac:dyDescent="0.3">
      <c r="A343" s="50" t="s">
        <v>76</v>
      </c>
      <c r="B343" s="17">
        <v>992</v>
      </c>
      <c r="C343" s="34" t="s">
        <v>77</v>
      </c>
      <c r="D343" s="34" t="s">
        <v>154</v>
      </c>
      <c r="E343" s="41" t="s">
        <v>27</v>
      </c>
      <c r="F343" s="20">
        <f>F344+F350</f>
        <v>64444232.490000002</v>
      </c>
      <c r="G343" s="20">
        <f t="shared" ref="G343:H343" si="219">G344+G350</f>
        <v>23129869.989999998</v>
      </c>
      <c r="H343" s="20">
        <f t="shared" si="219"/>
        <v>4563208.83</v>
      </c>
      <c r="I343" s="20">
        <f t="shared" si="212"/>
        <v>18566661.16</v>
      </c>
      <c r="J343" s="20">
        <f t="shared" si="213"/>
        <v>7.08</v>
      </c>
      <c r="K343" s="20">
        <f t="shared" si="214"/>
        <v>19.73</v>
      </c>
      <c r="L343" s="20"/>
      <c r="M343" s="35"/>
      <c r="N343" s="35"/>
    </row>
    <row r="344" spans="1:14" s="9" customFormat="1" ht="46.8" x14ac:dyDescent="0.3">
      <c r="A344" s="43" t="s">
        <v>298</v>
      </c>
      <c r="B344" s="17">
        <v>992</v>
      </c>
      <c r="C344" s="41" t="s">
        <v>77</v>
      </c>
      <c r="D344" s="41" t="s">
        <v>5</v>
      </c>
      <c r="E344" s="41" t="s">
        <v>27</v>
      </c>
      <c r="F344" s="20">
        <f t="shared" ref="F344:H346" si="220">F345</f>
        <v>12186714.529999999</v>
      </c>
      <c r="G344" s="20">
        <f t="shared" si="220"/>
        <v>12216881.960000001</v>
      </c>
      <c r="H344" s="20">
        <f t="shared" si="220"/>
        <v>2064955.48</v>
      </c>
      <c r="I344" s="20">
        <f t="shared" si="212"/>
        <v>10151926.48</v>
      </c>
      <c r="J344" s="20">
        <f t="shared" si="213"/>
        <v>16.940000000000001</v>
      </c>
      <c r="K344" s="20">
        <f t="shared" si="214"/>
        <v>16.899999999999999</v>
      </c>
      <c r="L344" s="20"/>
      <c r="M344" s="35"/>
      <c r="N344" s="35"/>
    </row>
    <row r="345" spans="1:14" s="9" customFormat="1" ht="31.2" x14ac:dyDescent="0.3">
      <c r="A345" s="43" t="s">
        <v>24</v>
      </c>
      <c r="B345" s="41" t="s">
        <v>19</v>
      </c>
      <c r="C345" s="34" t="s">
        <v>77</v>
      </c>
      <c r="D345" s="34" t="s">
        <v>300</v>
      </c>
      <c r="E345" s="41" t="s">
        <v>27</v>
      </c>
      <c r="F345" s="20">
        <f>F346</f>
        <v>12186714.529999999</v>
      </c>
      <c r="G345" s="20">
        <f t="shared" si="220"/>
        <v>12216881.960000001</v>
      </c>
      <c r="H345" s="20">
        <f t="shared" si="220"/>
        <v>2064955.48</v>
      </c>
      <c r="I345" s="20">
        <f t="shared" si="212"/>
        <v>10151926.48</v>
      </c>
      <c r="J345" s="20">
        <f t="shared" si="213"/>
        <v>16.940000000000001</v>
      </c>
      <c r="K345" s="20">
        <f t="shared" si="214"/>
        <v>16.899999999999999</v>
      </c>
      <c r="L345" s="20"/>
      <c r="M345" s="35"/>
      <c r="N345" s="35"/>
    </row>
    <row r="346" spans="1:14" s="9" customFormat="1" ht="46.8" x14ac:dyDescent="0.3">
      <c r="A346" s="30" t="s">
        <v>343</v>
      </c>
      <c r="B346" s="17">
        <v>992</v>
      </c>
      <c r="C346" s="34" t="s">
        <v>77</v>
      </c>
      <c r="D346" s="34" t="s">
        <v>301</v>
      </c>
      <c r="E346" s="34" t="s">
        <v>27</v>
      </c>
      <c r="F346" s="24">
        <f>F347</f>
        <v>12186714.529999999</v>
      </c>
      <c r="G346" s="24">
        <f t="shared" si="220"/>
        <v>12216881.960000001</v>
      </c>
      <c r="H346" s="24">
        <f t="shared" si="220"/>
        <v>2064955.48</v>
      </c>
      <c r="I346" s="24">
        <f t="shared" si="212"/>
        <v>10151926.48</v>
      </c>
      <c r="J346" s="24">
        <f t="shared" si="213"/>
        <v>16.940000000000001</v>
      </c>
      <c r="K346" s="24">
        <f t="shared" si="214"/>
        <v>16.899999999999999</v>
      </c>
      <c r="L346" s="24"/>
      <c r="M346" s="35"/>
      <c r="N346" s="35"/>
    </row>
    <row r="347" spans="1:14" s="9" customFormat="1" ht="93.6" x14ac:dyDescent="0.3">
      <c r="A347" s="43" t="s">
        <v>222</v>
      </c>
      <c r="B347" s="16">
        <v>992</v>
      </c>
      <c r="C347" s="44" t="s">
        <v>77</v>
      </c>
      <c r="D347" s="44" t="s">
        <v>413</v>
      </c>
      <c r="E347" s="47" t="s">
        <v>27</v>
      </c>
      <c r="F347" s="24">
        <f>F348+F349</f>
        <v>12186714.529999999</v>
      </c>
      <c r="G347" s="24">
        <f t="shared" ref="G347:H347" si="221">G348+G349</f>
        <v>12216881.960000001</v>
      </c>
      <c r="H347" s="24">
        <f t="shared" si="221"/>
        <v>2064955.48</v>
      </c>
      <c r="I347" s="24">
        <f t="shared" si="212"/>
        <v>10151926.48</v>
      </c>
      <c r="J347" s="24">
        <f t="shared" si="213"/>
        <v>16.940000000000001</v>
      </c>
      <c r="K347" s="24">
        <f t="shared" si="214"/>
        <v>16.899999999999999</v>
      </c>
      <c r="L347" s="24"/>
      <c r="M347" s="35"/>
      <c r="N347" s="35"/>
    </row>
    <row r="348" spans="1:14" s="9" customFormat="1" ht="31.2" x14ac:dyDescent="0.3">
      <c r="A348" s="43" t="s">
        <v>134</v>
      </c>
      <c r="B348" s="16">
        <v>992</v>
      </c>
      <c r="C348" s="44" t="s">
        <v>77</v>
      </c>
      <c r="D348" s="44" t="s">
        <v>413</v>
      </c>
      <c r="E348" s="47" t="s">
        <v>135</v>
      </c>
      <c r="F348" s="24">
        <v>8140721.7300000004</v>
      </c>
      <c r="G348" s="24">
        <v>8140721.7300000004</v>
      </c>
      <c r="H348" s="24">
        <v>1845610</v>
      </c>
      <c r="I348" s="24">
        <f t="shared" si="212"/>
        <v>6295111.7300000004</v>
      </c>
      <c r="J348" s="24">
        <f t="shared" si="213"/>
        <v>22.67</v>
      </c>
      <c r="K348" s="24">
        <f t="shared" si="214"/>
        <v>22.67</v>
      </c>
      <c r="L348" s="24"/>
      <c r="M348" s="35"/>
      <c r="N348" s="35"/>
    </row>
    <row r="349" spans="1:14" s="9" customFormat="1" ht="31.2" x14ac:dyDescent="0.3">
      <c r="A349" s="43" t="s">
        <v>134</v>
      </c>
      <c r="B349" s="16">
        <v>992</v>
      </c>
      <c r="C349" s="44" t="s">
        <v>77</v>
      </c>
      <c r="D349" s="44" t="s">
        <v>413</v>
      </c>
      <c r="E349" s="47" t="s">
        <v>137</v>
      </c>
      <c r="F349" s="24">
        <f>4045992.8</f>
        <v>4045992.8</v>
      </c>
      <c r="G349" s="24">
        <f t="shared" ref="G349" si="222">4045992.8+30167.43</f>
        <v>4076160.23</v>
      </c>
      <c r="H349" s="24">
        <v>219345.48</v>
      </c>
      <c r="I349" s="24">
        <f t="shared" si="212"/>
        <v>3856814.75</v>
      </c>
      <c r="J349" s="24">
        <f t="shared" si="213"/>
        <v>5.42</v>
      </c>
      <c r="K349" s="24">
        <f t="shared" si="214"/>
        <v>5.38</v>
      </c>
      <c r="L349" s="24"/>
      <c r="M349" s="35"/>
      <c r="N349" s="35"/>
    </row>
    <row r="350" spans="1:14" s="9" customFormat="1" ht="62.4" x14ac:dyDescent="0.3">
      <c r="A350" s="43" t="s">
        <v>346</v>
      </c>
      <c r="B350" s="17">
        <v>992</v>
      </c>
      <c r="C350" s="34" t="s">
        <v>77</v>
      </c>
      <c r="D350" s="34" t="s">
        <v>170</v>
      </c>
      <c r="E350" s="34" t="s">
        <v>27</v>
      </c>
      <c r="F350" s="20">
        <f>F351+F357</f>
        <v>52257517.960000001</v>
      </c>
      <c r="G350" s="20">
        <f t="shared" ref="G350:H350" si="223">G351+G357</f>
        <v>10912988.029999999</v>
      </c>
      <c r="H350" s="20">
        <f t="shared" si="223"/>
        <v>2498253.35</v>
      </c>
      <c r="I350" s="20">
        <f t="shared" si="212"/>
        <v>8414734.6799999997</v>
      </c>
      <c r="J350" s="20">
        <f t="shared" si="213"/>
        <v>4.78</v>
      </c>
      <c r="K350" s="20">
        <f t="shared" si="214"/>
        <v>22.89</v>
      </c>
      <c r="L350" s="20"/>
      <c r="M350" s="35"/>
      <c r="N350" s="35"/>
    </row>
    <row r="351" spans="1:14" s="9" customFormat="1" ht="31.2" x14ac:dyDescent="0.3">
      <c r="A351" s="43" t="s">
        <v>347</v>
      </c>
      <c r="B351" s="17">
        <v>992</v>
      </c>
      <c r="C351" s="34" t="s">
        <v>77</v>
      </c>
      <c r="D351" s="34" t="s">
        <v>6</v>
      </c>
      <c r="E351" s="34" t="s">
        <v>27</v>
      </c>
      <c r="F351" s="20">
        <f>F352</f>
        <v>6343507.4400000004</v>
      </c>
      <c r="G351" s="20">
        <f t="shared" ref="G351:H351" si="224">G352</f>
        <v>5995808.0300000003</v>
      </c>
      <c r="H351" s="20">
        <f t="shared" si="224"/>
        <v>2498253.35</v>
      </c>
      <c r="I351" s="20">
        <f t="shared" si="212"/>
        <v>3497554.68</v>
      </c>
      <c r="J351" s="20">
        <f t="shared" si="213"/>
        <v>39.380000000000003</v>
      </c>
      <c r="K351" s="20">
        <f t="shared" si="214"/>
        <v>41.67</v>
      </c>
      <c r="L351" s="20"/>
      <c r="M351" s="35"/>
      <c r="N351" s="35"/>
    </row>
    <row r="352" spans="1:14" s="9" customFormat="1" ht="46.8" x14ac:dyDescent="0.3">
      <c r="A352" s="43" t="s">
        <v>404</v>
      </c>
      <c r="B352" s="17">
        <v>992</v>
      </c>
      <c r="C352" s="34" t="s">
        <v>77</v>
      </c>
      <c r="D352" s="34" t="s">
        <v>348</v>
      </c>
      <c r="E352" s="34" t="s">
        <v>27</v>
      </c>
      <c r="F352" s="20">
        <f>F353+F355</f>
        <v>6343507.4400000004</v>
      </c>
      <c r="G352" s="20">
        <f t="shared" ref="G352:H352" si="225">G353+G355</f>
        <v>5995808.0300000003</v>
      </c>
      <c r="H352" s="20">
        <f t="shared" si="225"/>
        <v>2498253.35</v>
      </c>
      <c r="I352" s="20">
        <f t="shared" si="212"/>
        <v>3497554.68</v>
      </c>
      <c r="J352" s="20">
        <f t="shared" si="213"/>
        <v>39.380000000000003</v>
      </c>
      <c r="K352" s="20">
        <f t="shared" si="214"/>
        <v>41.67</v>
      </c>
      <c r="L352" s="20"/>
      <c r="M352" s="35"/>
      <c r="N352" s="35"/>
    </row>
    <row r="353" spans="1:14" s="9" customFormat="1" ht="62.4" x14ac:dyDescent="0.3">
      <c r="A353" s="43" t="s">
        <v>233</v>
      </c>
      <c r="B353" s="17">
        <v>992</v>
      </c>
      <c r="C353" s="34" t="s">
        <v>77</v>
      </c>
      <c r="D353" s="34" t="s">
        <v>187</v>
      </c>
      <c r="E353" s="34" t="s">
        <v>27</v>
      </c>
      <c r="F353" s="20">
        <f>F354</f>
        <v>5247568.83</v>
      </c>
      <c r="G353" s="20">
        <f t="shared" ref="G353:H353" si="226">G354</f>
        <v>4899869.42</v>
      </c>
      <c r="H353" s="20">
        <f t="shared" si="226"/>
        <v>2041612.26</v>
      </c>
      <c r="I353" s="20">
        <f t="shared" si="212"/>
        <v>2858257.16</v>
      </c>
      <c r="J353" s="20">
        <f t="shared" si="213"/>
        <v>38.909999999999997</v>
      </c>
      <c r="K353" s="20">
        <f t="shared" si="214"/>
        <v>41.67</v>
      </c>
      <c r="L353" s="20"/>
      <c r="M353" s="35"/>
      <c r="N353" s="35"/>
    </row>
    <row r="354" spans="1:14" s="9" customFormat="1" ht="31.2" x14ac:dyDescent="0.3">
      <c r="A354" s="30" t="s">
        <v>136</v>
      </c>
      <c r="B354" s="17">
        <v>992</v>
      </c>
      <c r="C354" s="34" t="s">
        <v>77</v>
      </c>
      <c r="D354" s="34" t="s">
        <v>187</v>
      </c>
      <c r="E354" s="34" t="s">
        <v>137</v>
      </c>
      <c r="F354" s="23">
        <f>5247568.83</f>
        <v>5247568.83</v>
      </c>
      <c r="G354" s="23">
        <f t="shared" ref="G354" si="227">5247568.83-347699.41</f>
        <v>4899869.42</v>
      </c>
      <c r="H354" s="23">
        <v>2041612.26</v>
      </c>
      <c r="I354" s="23">
        <f t="shared" si="212"/>
        <v>2858257.16</v>
      </c>
      <c r="J354" s="23">
        <f t="shared" si="213"/>
        <v>38.909999999999997</v>
      </c>
      <c r="K354" s="23">
        <f t="shared" si="214"/>
        <v>41.67</v>
      </c>
      <c r="L354" s="23"/>
      <c r="M354" s="35"/>
      <c r="N354" s="35"/>
    </row>
    <row r="355" spans="1:14" s="9" customFormat="1" ht="46.8" x14ac:dyDescent="0.3">
      <c r="A355" s="30" t="s">
        <v>234</v>
      </c>
      <c r="B355" s="17">
        <v>992</v>
      </c>
      <c r="C355" s="34" t="s">
        <v>77</v>
      </c>
      <c r="D355" s="34" t="s">
        <v>187</v>
      </c>
      <c r="E355" s="34" t="s">
        <v>27</v>
      </c>
      <c r="F355" s="24">
        <f>F356</f>
        <v>1095938.6100000001</v>
      </c>
      <c r="G355" s="24">
        <f t="shared" ref="G355:H355" si="228">G356</f>
        <v>1095938.6100000001</v>
      </c>
      <c r="H355" s="24">
        <f t="shared" si="228"/>
        <v>456641.09</v>
      </c>
      <c r="I355" s="24">
        <f t="shared" si="212"/>
        <v>639297.52</v>
      </c>
      <c r="J355" s="24">
        <f t="shared" si="213"/>
        <v>41.67</v>
      </c>
      <c r="K355" s="24">
        <f t="shared" si="214"/>
        <v>41.67</v>
      </c>
      <c r="L355" s="24"/>
      <c r="M355" s="35"/>
      <c r="N355" s="35"/>
    </row>
    <row r="356" spans="1:14" s="9" customFormat="1" ht="31.2" x14ac:dyDescent="0.3">
      <c r="A356" s="30" t="s">
        <v>136</v>
      </c>
      <c r="B356" s="17">
        <v>992</v>
      </c>
      <c r="C356" s="34" t="s">
        <v>77</v>
      </c>
      <c r="D356" s="34" t="s">
        <v>187</v>
      </c>
      <c r="E356" s="34" t="s">
        <v>137</v>
      </c>
      <c r="F356" s="24">
        <v>1095938.6100000001</v>
      </c>
      <c r="G356" s="24">
        <v>1095938.6100000001</v>
      </c>
      <c r="H356" s="24">
        <v>456641.09</v>
      </c>
      <c r="I356" s="24">
        <f t="shared" si="212"/>
        <v>639297.52</v>
      </c>
      <c r="J356" s="24">
        <f t="shared" si="213"/>
        <v>41.67</v>
      </c>
      <c r="K356" s="24">
        <f t="shared" si="214"/>
        <v>41.67</v>
      </c>
      <c r="L356" s="24"/>
      <c r="M356" s="35"/>
      <c r="N356" s="35"/>
    </row>
    <row r="357" spans="1:14" s="9" customFormat="1" ht="62.4" x14ac:dyDescent="0.3">
      <c r="A357" s="43" t="s">
        <v>349</v>
      </c>
      <c r="B357" s="17">
        <v>992</v>
      </c>
      <c r="C357" s="34" t="s">
        <v>77</v>
      </c>
      <c r="D357" s="34" t="s">
        <v>591</v>
      </c>
      <c r="E357" s="34" t="s">
        <v>27</v>
      </c>
      <c r="F357" s="20">
        <f>F358</f>
        <v>45914010.520000003</v>
      </c>
      <c r="G357" s="20">
        <f t="shared" ref="G357:H357" si="229">G358</f>
        <v>4917180</v>
      </c>
      <c r="H357" s="20">
        <f t="shared" si="229"/>
        <v>0</v>
      </c>
      <c r="I357" s="20">
        <f t="shared" si="212"/>
        <v>4917180</v>
      </c>
      <c r="J357" s="20">
        <f t="shared" si="213"/>
        <v>0</v>
      </c>
      <c r="K357" s="20">
        <f t="shared" si="214"/>
        <v>0</v>
      </c>
      <c r="L357" s="20"/>
      <c r="M357" s="35"/>
      <c r="N357" s="35"/>
    </row>
    <row r="358" spans="1:14" s="9" customFormat="1" ht="78" x14ac:dyDescent="0.3">
      <c r="A358" s="43" t="s">
        <v>595</v>
      </c>
      <c r="B358" s="17">
        <v>992</v>
      </c>
      <c r="C358" s="34" t="s">
        <v>77</v>
      </c>
      <c r="D358" s="34" t="s">
        <v>592</v>
      </c>
      <c r="E358" s="34" t="s">
        <v>27</v>
      </c>
      <c r="F358" s="20">
        <f>F359+F361</f>
        <v>45914010.520000003</v>
      </c>
      <c r="G358" s="20">
        <f t="shared" ref="G358:H358" si="230">G359+G361</f>
        <v>4917180</v>
      </c>
      <c r="H358" s="20">
        <f t="shared" si="230"/>
        <v>0</v>
      </c>
      <c r="I358" s="20">
        <f t="shared" si="212"/>
        <v>4917180</v>
      </c>
      <c r="J358" s="20">
        <f t="shared" si="213"/>
        <v>0</v>
      </c>
      <c r="K358" s="20">
        <f t="shared" si="214"/>
        <v>0</v>
      </c>
      <c r="L358" s="20"/>
      <c r="M358" s="35"/>
      <c r="N358" s="35"/>
    </row>
    <row r="359" spans="1:14" s="9" customFormat="1" ht="62.4" x14ac:dyDescent="0.3">
      <c r="A359" s="43" t="s">
        <v>213</v>
      </c>
      <c r="B359" s="17">
        <v>992</v>
      </c>
      <c r="C359" s="34" t="s">
        <v>77</v>
      </c>
      <c r="D359" s="36" t="s">
        <v>593</v>
      </c>
      <c r="E359" s="34" t="s">
        <v>27</v>
      </c>
      <c r="F359" s="24">
        <f>F360</f>
        <v>24585900</v>
      </c>
      <c r="G359" s="24">
        <f t="shared" ref="G359:H359" si="231">G360</f>
        <v>0</v>
      </c>
      <c r="H359" s="24">
        <f t="shared" si="231"/>
        <v>0</v>
      </c>
      <c r="I359" s="24">
        <f t="shared" si="212"/>
        <v>0</v>
      </c>
      <c r="J359" s="24">
        <f t="shared" si="213"/>
        <v>0</v>
      </c>
      <c r="K359" s="24" t="s">
        <v>668</v>
      </c>
      <c r="L359" s="24"/>
      <c r="M359" s="35"/>
      <c r="N359" s="35"/>
    </row>
    <row r="360" spans="1:14" s="9" customFormat="1" ht="15.6" x14ac:dyDescent="0.3">
      <c r="A360" s="50" t="s">
        <v>132</v>
      </c>
      <c r="B360" s="17">
        <v>992</v>
      </c>
      <c r="C360" s="34" t="s">
        <v>77</v>
      </c>
      <c r="D360" s="36" t="s">
        <v>593</v>
      </c>
      <c r="E360" s="34" t="s">
        <v>133</v>
      </c>
      <c r="F360" s="24">
        <f>24585900</f>
        <v>24585900</v>
      </c>
      <c r="G360" s="24">
        <f t="shared" ref="G360:H360" si="232">24585900-24585900</f>
        <v>0</v>
      </c>
      <c r="H360" s="24">
        <f t="shared" si="232"/>
        <v>0</v>
      </c>
      <c r="I360" s="24">
        <f t="shared" si="212"/>
        <v>0</v>
      </c>
      <c r="J360" s="24">
        <f t="shared" si="213"/>
        <v>0</v>
      </c>
      <c r="K360" s="24" t="s">
        <v>668</v>
      </c>
      <c r="L360" s="24"/>
      <c r="M360" s="35"/>
      <c r="N360" s="35"/>
    </row>
    <row r="361" spans="1:14" s="9" customFormat="1" ht="62.4" x14ac:dyDescent="0.3">
      <c r="A361" s="43" t="s">
        <v>196</v>
      </c>
      <c r="B361" s="17">
        <v>992</v>
      </c>
      <c r="C361" s="34" t="s">
        <v>77</v>
      </c>
      <c r="D361" s="36" t="s">
        <v>594</v>
      </c>
      <c r="E361" s="34" t="s">
        <v>27</v>
      </c>
      <c r="F361" s="24">
        <f>F362</f>
        <v>21328110.52</v>
      </c>
      <c r="G361" s="24">
        <f t="shared" ref="G361:H361" si="233">G362</f>
        <v>4917180</v>
      </c>
      <c r="H361" s="24">
        <f t="shared" si="233"/>
        <v>0</v>
      </c>
      <c r="I361" s="24">
        <f t="shared" si="212"/>
        <v>4917180</v>
      </c>
      <c r="J361" s="24">
        <f t="shared" si="213"/>
        <v>0</v>
      </c>
      <c r="K361" s="24">
        <f t="shared" si="214"/>
        <v>0</v>
      </c>
      <c r="L361" s="24"/>
      <c r="M361" s="35"/>
      <c r="N361" s="35"/>
    </row>
    <row r="362" spans="1:14" s="9" customFormat="1" ht="15.6" x14ac:dyDescent="0.3">
      <c r="A362" s="50" t="s">
        <v>132</v>
      </c>
      <c r="B362" s="17">
        <v>992</v>
      </c>
      <c r="C362" s="34" t="s">
        <v>77</v>
      </c>
      <c r="D362" s="36" t="s">
        <v>594</v>
      </c>
      <c r="E362" s="34" t="s">
        <v>133</v>
      </c>
      <c r="F362" s="24">
        <f>21328110.52</f>
        <v>21328110.52</v>
      </c>
      <c r="G362" s="24">
        <f t="shared" ref="G362" si="234">21328110.52-16410930.52</f>
        <v>4917180</v>
      </c>
      <c r="H362" s="24">
        <v>0</v>
      </c>
      <c r="I362" s="24">
        <f t="shared" si="212"/>
        <v>4917180</v>
      </c>
      <c r="J362" s="24">
        <f t="shared" si="213"/>
        <v>0</v>
      </c>
      <c r="K362" s="24">
        <f t="shared" si="214"/>
        <v>0</v>
      </c>
      <c r="L362" s="24"/>
      <c r="M362" s="35"/>
      <c r="N362" s="35"/>
    </row>
    <row r="363" spans="1:14" s="9" customFormat="1" ht="15.6" x14ac:dyDescent="0.3">
      <c r="A363" s="30" t="s">
        <v>114</v>
      </c>
      <c r="B363" s="17">
        <v>992</v>
      </c>
      <c r="C363" s="34" t="s">
        <v>115</v>
      </c>
      <c r="D363" s="34" t="s">
        <v>154</v>
      </c>
      <c r="E363" s="34" t="s">
        <v>27</v>
      </c>
      <c r="F363" s="20">
        <f>F364+F374</f>
        <v>2280919.08</v>
      </c>
      <c r="G363" s="20">
        <f t="shared" ref="G363:H363" si="235">G364+G374</f>
        <v>1754934.4</v>
      </c>
      <c r="H363" s="20">
        <f t="shared" si="235"/>
        <v>198170</v>
      </c>
      <c r="I363" s="20">
        <f t="shared" si="212"/>
        <v>1556764.4</v>
      </c>
      <c r="J363" s="20">
        <f t="shared" si="213"/>
        <v>8.69</v>
      </c>
      <c r="K363" s="20">
        <f t="shared" si="214"/>
        <v>11.29</v>
      </c>
      <c r="L363" s="20"/>
      <c r="M363" s="35"/>
      <c r="N363" s="35"/>
    </row>
    <row r="364" spans="1:14" s="9" customFormat="1" ht="46.8" x14ac:dyDescent="0.3">
      <c r="A364" s="43" t="s">
        <v>298</v>
      </c>
      <c r="B364" s="17">
        <v>992</v>
      </c>
      <c r="C364" s="41" t="s">
        <v>115</v>
      </c>
      <c r="D364" s="41" t="s">
        <v>5</v>
      </c>
      <c r="E364" s="41" t="s">
        <v>27</v>
      </c>
      <c r="F364" s="20">
        <f t="shared" ref="F364:H364" si="236">F365</f>
        <v>1000000</v>
      </c>
      <c r="G364" s="20">
        <f t="shared" si="236"/>
        <v>1000000</v>
      </c>
      <c r="H364" s="20">
        <f t="shared" si="236"/>
        <v>0</v>
      </c>
      <c r="I364" s="20">
        <f t="shared" si="212"/>
        <v>1000000</v>
      </c>
      <c r="J364" s="20">
        <f t="shared" si="213"/>
        <v>0</v>
      </c>
      <c r="K364" s="20">
        <f t="shared" si="214"/>
        <v>0</v>
      </c>
      <c r="L364" s="20"/>
      <c r="M364" s="35"/>
      <c r="N364" s="35"/>
    </row>
    <row r="365" spans="1:14" s="9" customFormat="1" ht="15.6" x14ac:dyDescent="0.3">
      <c r="A365" s="43" t="s">
        <v>7</v>
      </c>
      <c r="B365" s="17">
        <v>992</v>
      </c>
      <c r="C365" s="34" t="s">
        <v>115</v>
      </c>
      <c r="D365" s="34" t="s">
        <v>350</v>
      </c>
      <c r="E365" s="34" t="s">
        <v>27</v>
      </c>
      <c r="F365" s="24">
        <f>F366+F371</f>
        <v>1000000</v>
      </c>
      <c r="G365" s="24">
        <f t="shared" ref="G365:H365" si="237">G366+G371</f>
        <v>1000000</v>
      </c>
      <c r="H365" s="24">
        <f t="shared" si="237"/>
        <v>0</v>
      </c>
      <c r="I365" s="24">
        <f t="shared" si="212"/>
        <v>1000000</v>
      </c>
      <c r="J365" s="24">
        <f t="shared" si="213"/>
        <v>0</v>
      </c>
      <c r="K365" s="24">
        <f t="shared" si="214"/>
        <v>0</v>
      </c>
      <c r="L365" s="24"/>
      <c r="M365" s="35"/>
      <c r="N365" s="35"/>
    </row>
    <row r="366" spans="1:14" s="9" customFormat="1" ht="78" x14ac:dyDescent="0.3">
      <c r="A366" s="62" t="s">
        <v>351</v>
      </c>
      <c r="B366" s="17">
        <v>992</v>
      </c>
      <c r="C366" s="34" t="s">
        <v>115</v>
      </c>
      <c r="D366" s="36" t="s">
        <v>414</v>
      </c>
      <c r="E366" s="34" t="s">
        <v>27</v>
      </c>
      <c r="F366" s="24">
        <f>F369+F367</f>
        <v>950000</v>
      </c>
      <c r="G366" s="24">
        <f t="shared" ref="G366:H366" si="238">G369+G367</f>
        <v>950000</v>
      </c>
      <c r="H366" s="24">
        <f t="shared" si="238"/>
        <v>0</v>
      </c>
      <c r="I366" s="24">
        <f t="shared" si="212"/>
        <v>950000</v>
      </c>
      <c r="J366" s="24">
        <f t="shared" si="213"/>
        <v>0</v>
      </c>
      <c r="K366" s="24">
        <f t="shared" si="214"/>
        <v>0</v>
      </c>
      <c r="L366" s="24"/>
      <c r="M366" s="35"/>
      <c r="N366" s="35"/>
    </row>
    <row r="367" spans="1:14" s="9" customFormat="1" ht="62.4" x14ac:dyDescent="0.3">
      <c r="A367" s="62" t="s">
        <v>416</v>
      </c>
      <c r="B367" s="17">
        <v>992</v>
      </c>
      <c r="C367" s="34" t="s">
        <v>115</v>
      </c>
      <c r="D367" s="36" t="s">
        <v>417</v>
      </c>
      <c r="E367" s="34" t="s">
        <v>27</v>
      </c>
      <c r="F367" s="24">
        <f>F368</f>
        <v>450000</v>
      </c>
      <c r="G367" s="24">
        <f t="shared" ref="G367:H367" si="239">G368</f>
        <v>450000</v>
      </c>
      <c r="H367" s="24">
        <f t="shared" si="239"/>
        <v>0</v>
      </c>
      <c r="I367" s="24">
        <f t="shared" si="212"/>
        <v>450000</v>
      </c>
      <c r="J367" s="24">
        <f t="shared" si="213"/>
        <v>0</v>
      </c>
      <c r="K367" s="24">
        <f t="shared" si="214"/>
        <v>0</v>
      </c>
      <c r="L367" s="24"/>
      <c r="M367" s="35"/>
      <c r="N367" s="35"/>
    </row>
    <row r="368" spans="1:14" s="9" customFormat="1" ht="31.2" x14ac:dyDescent="0.3">
      <c r="A368" s="33" t="s">
        <v>125</v>
      </c>
      <c r="B368" s="17">
        <v>992</v>
      </c>
      <c r="C368" s="34" t="s">
        <v>115</v>
      </c>
      <c r="D368" s="36" t="s">
        <v>417</v>
      </c>
      <c r="E368" s="34" t="s">
        <v>126</v>
      </c>
      <c r="F368" s="24">
        <v>450000</v>
      </c>
      <c r="G368" s="24">
        <v>450000</v>
      </c>
      <c r="H368" s="24">
        <v>0</v>
      </c>
      <c r="I368" s="24">
        <f t="shared" si="212"/>
        <v>450000</v>
      </c>
      <c r="J368" s="24">
        <f t="shared" si="213"/>
        <v>0</v>
      </c>
      <c r="K368" s="24">
        <f t="shared" si="214"/>
        <v>0</v>
      </c>
      <c r="L368" s="24"/>
      <c r="M368" s="35"/>
      <c r="N368" s="35"/>
    </row>
    <row r="369" spans="1:14" s="9" customFormat="1" ht="46.8" x14ac:dyDescent="0.3">
      <c r="A369" s="62" t="s">
        <v>415</v>
      </c>
      <c r="B369" s="17">
        <v>992</v>
      </c>
      <c r="C369" s="34" t="s">
        <v>115</v>
      </c>
      <c r="D369" s="36" t="s">
        <v>412</v>
      </c>
      <c r="E369" s="34" t="s">
        <v>27</v>
      </c>
      <c r="F369" s="24">
        <f>F370</f>
        <v>500000</v>
      </c>
      <c r="G369" s="24">
        <f t="shared" ref="G369:H369" si="240">G370</f>
        <v>500000</v>
      </c>
      <c r="H369" s="24">
        <f t="shared" si="240"/>
        <v>0</v>
      </c>
      <c r="I369" s="24">
        <f t="shared" si="212"/>
        <v>500000</v>
      </c>
      <c r="J369" s="24">
        <f t="shared" si="213"/>
        <v>0</v>
      </c>
      <c r="K369" s="24">
        <f t="shared" si="214"/>
        <v>0</v>
      </c>
      <c r="L369" s="24"/>
      <c r="M369" s="35"/>
      <c r="N369" s="35"/>
    </row>
    <row r="370" spans="1:14" s="9" customFormat="1" ht="31.2" x14ac:dyDescent="0.3">
      <c r="A370" s="33" t="s">
        <v>125</v>
      </c>
      <c r="B370" s="17">
        <v>992</v>
      </c>
      <c r="C370" s="34" t="s">
        <v>115</v>
      </c>
      <c r="D370" s="36" t="s">
        <v>412</v>
      </c>
      <c r="E370" s="34" t="s">
        <v>126</v>
      </c>
      <c r="F370" s="24">
        <v>500000</v>
      </c>
      <c r="G370" s="24">
        <v>500000</v>
      </c>
      <c r="H370" s="24">
        <v>0</v>
      </c>
      <c r="I370" s="24">
        <f t="shared" si="212"/>
        <v>500000</v>
      </c>
      <c r="J370" s="24">
        <f t="shared" si="213"/>
        <v>0</v>
      </c>
      <c r="K370" s="24">
        <f t="shared" si="214"/>
        <v>0</v>
      </c>
      <c r="L370" s="24"/>
      <c r="M370" s="35"/>
      <c r="N370" s="35"/>
    </row>
    <row r="371" spans="1:14" s="9" customFormat="1" ht="46.8" x14ac:dyDescent="0.3">
      <c r="A371" s="62" t="s">
        <v>447</v>
      </c>
      <c r="B371" s="17">
        <v>992</v>
      </c>
      <c r="C371" s="34" t="s">
        <v>115</v>
      </c>
      <c r="D371" s="36" t="s">
        <v>446</v>
      </c>
      <c r="E371" s="34" t="s">
        <v>27</v>
      </c>
      <c r="F371" s="24">
        <f>F372</f>
        <v>50000</v>
      </c>
      <c r="G371" s="24">
        <f t="shared" ref="G371:H372" si="241">G372</f>
        <v>50000</v>
      </c>
      <c r="H371" s="24">
        <f t="shared" si="241"/>
        <v>0</v>
      </c>
      <c r="I371" s="24">
        <f t="shared" si="212"/>
        <v>50000</v>
      </c>
      <c r="J371" s="24">
        <f t="shared" si="213"/>
        <v>0</v>
      </c>
      <c r="K371" s="24">
        <f t="shared" si="214"/>
        <v>0</v>
      </c>
      <c r="L371" s="24"/>
      <c r="M371" s="35"/>
      <c r="N371" s="35"/>
    </row>
    <row r="372" spans="1:14" s="9" customFormat="1" ht="31.2" x14ac:dyDescent="0.3">
      <c r="A372" s="62" t="s">
        <v>449</v>
      </c>
      <c r="B372" s="17">
        <v>992</v>
      </c>
      <c r="C372" s="34" t="s">
        <v>115</v>
      </c>
      <c r="D372" s="36" t="s">
        <v>448</v>
      </c>
      <c r="E372" s="34" t="s">
        <v>27</v>
      </c>
      <c r="F372" s="24">
        <f>F373</f>
        <v>50000</v>
      </c>
      <c r="G372" s="24">
        <f t="shared" si="241"/>
        <v>50000</v>
      </c>
      <c r="H372" s="24">
        <f t="shared" si="241"/>
        <v>0</v>
      </c>
      <c r="I372" s="24">
        <f t="shared" si="212"/>
        <v>50000</v>
      </c>
      <c r="J372" s="24">
        <f t="shared" si="213"/>
        <v>0</v>
      </c>
      <c r="K372" s="24">
        <f t="shared" si="214"/>
        <v>0</v>
      </c>
      <c r="L372" s="24"/>
      <c r="M372" s="35"/>
      <c r="N372" s="35"/>
    </row>
    <row r="373" spans="1:14" s="9" customFormat="1" ht="31.2" x14ac:dyDescent="0.3">
      <c r="A373" s="33" t="s">
        <v>125</v>
      </c>
      <c r="B373" s="17">
        <v>992</v>
      </c>
      <c r="C373" s="34" t="s">
        <v>115</v>
      </c>
      <c r="D373" s="36" t="s">
        <v>448</v>
      </c>
      <c r="E373" s="34" t="s">
        <v>126</v>
      </c>
      <c r="F373" s="24">
        <v>50000</v>
      </c>
      <c r="G373" s="24">
        <v>50000</v>
      </c>
      <c r="H373" s="24">
        <v>0</v>
      </c>
      <c r="I373" s="24">
        <f t="shared" si="212"/>
        <v>50000</v>
      </c>
      <c r="J373" s="24">
        <f t="shared" si="213"/>
        <v>0</v>
      </c>
      <c r="K373" s="24">
        <f t="shared" si="214"/>
        <v>0</v>
      </c>
      <c r="L373" s="24"/>
      <c r="M373" s="35"/>
      <c r="N373" s="35"/>
    </row>
    <row r="374" spans="1:14" s="9" customFormat="1" ht="78" x14ac:dyDescent="0.3">
      <c r="A374" s="43" t="s">
        <v>352</v>
      </c>
      <c r="B374" s="17">
        <v>992</v>
      </c>
      <c r="C374" s="34" t="s">
        <v>115</v>
      </c>
      <c r="D374" s="34" t="s">
        <v>170</v>
      </c>
      <c r="E374" s="34" t="s">
        <v>27</v>
      </c>
      <c r="F374" s="20">
        <f t="shared" ref="F374:H375" si="242">F375</f>
        <v>1280919.08</v>
      </c>
      <c r="G374" s="20">
        <f t="shared" si="242"/>
        <v>754934.4</v>
      </c>
      <c r="H374" s="20">
        <f t="shared" si="242"/>
        <v>198170</v>
      </c>
      <c r="I374" s="20">
        <f t="shared" si="212"/>
        <v>556764.4</v>
      </c>
      <c r="J374" s="20">
        <f t="shared" si="213"/>
        <v>15.47</v>
      </c>
      <c r="K374" s="20">
        <f t="shared" si="214"/>
        <v>26.25</v>
      </c>
      <c r="L374" s="20"/>
      <c r="M374" s="35"/>
      <c r="N374" s="35"/>
    </row>
    <row r="375" spans="1:14" s="9" customFormat="1" ht="78" x14ac:dyDescent="0.3">
      <c r="A375" s="43" t="s">
        <v>595</v>
      </c>
      <c r="B375" s="17">
        <v>992</v>
      </c>
      <c r="C375" s="34" t="s">
        <v>115</v>
      </c>
      <c r="D375" s="34" t="s">
        <v>591</v>
      </c>
      <c r="E375" s="34" t="s">
        <v>27</v>
      </c>
      <c r="F375" s="20">
        <f t="shared" si="242"/>
        <v>1280919.08</v>
      </c>
      <c r="G375" s="20">
        <f t="shared" si="242"/>
        <v>754934.4</v>
      </c>
      <c r="H375" s="20">
        <f t="shared" si="242"/>
        <v>198170</v>
      </c>
      <c r="I375" s="20">
        <f t="shared" si="212"/>
        <v>556764.4</v>
      </c>
      <c r="J375" s="20">
        <f t="shared" si="213"/>
        <v>15.47</v>
      </c>
      <c r="K375" s="20">
        <f t="shared" si="214"/>
        <v>26.25</v>
      </c>
      <c r="L375" s="20"/>
      <c r="M375" s="35"/>
      <c r="N375" s="35"/>
    </row>
    <row r="376" spans="1:14" s="9" customFormat="1" ht="109.2" x14ac:dyDescent="0.3">
      <c r="A376" s="43" t="s">
        <v>471</v>
      </c>
      <c r="B376" s="17">
        <v>992</v>
      </c>
      <c r="C376" s="34" t="s">
        <v>115</v>
      </c>
      <c r="D376" s="36" t="s">
        <v>594</v>
      </c>
      <c r="E376" s="34" t="s">
        <v>27</v>
      </c>
      <c r="F376" s="20">
        <f>F377+F378</f>
        <v>1280919.08</v>
      </c>
      <c r="G376" s="20">
        <f t="shared" ref="G376:H376" si="243">G377+G378</f>
        <v>754934.4</v>
      </c>
      <c r="H376" s="20">
        <f t="shared" si="243"/>
        <v>198170</v>
      </c>
      <c r="I376" s="20">
        <f t="shared" si="212"/>
        <v>556764.4</v>
      </c>
      <c r="J376" s="20">
        <f t="shared" si="213"/>
        <v>15.47</v>
      </c>
      <c r="K376" s="20">
        <f t="shared" si="214"/>
        <v>26.25</v>
      </c>
      <c r="L376" s="20"/>
      <c r="M376" s="35"/>
      <c r="N376" s="35"/>
    </row>
    <row r="377" spans="1:14" s="9" customFormat="1" ht="31.2" x14ac:dyDescent="0.3">
      <c r="A377" s="30" t="s">
        <v>127</v>
      </c>
      <c r="B377" s="17">
        <v>992</v>
      </c>
      <c r="C377" s="34" t="s">
        <v>115</v>
      </c>
      <c r="D377" s="36" t="s">
        <v>594</v>
      </c>
      <c r="E377" s="34" t="s">
        <v>128</v>
      </c>
      <c r="F377" s="24">
        <f>972261.15</f>
        <v>972261.15</v>
      </c>
      <c r="G377" s="24">
        <f t="shared" ref="G377" si="244">972261.15-266815.13-50511.62</f>
        <v>654934.4</v>
      </c>
      <c r="H377" s="24">
        <v>160190.97</v>
      </c>
      <c r="I377" s="24">
        <f t="shared" si="212"/>
        <v>494743.43</v>
      </c>
      <c r="J377" s="24">
        <f t="shared" si="213"/>
        <v>16.48</v>
      </c>
      <c r="K377" s="24">
        <f t="shared" si="214"/>
        <v>24.46</v>
      </c>
      <c r="L377" s="24"/>
      <c r="M377" s="35"/>
      <c r="N377" s="35"/>
    </row>
    <row r="378" spans="1:14" s="9" customFormat="1" ht="31.2" x14ac:dyDescent="0.3">
      <c r="A378" s="33" t="s">
        <v>125</v>
      </c>
      <c r="B378" s="17">
        <v>992</v>
      </c>
      <c r="C378" s="34" t="s">
        <v>115</v>
      </c>
      <c r="D378" s="36" t="s">
        <v>594</v>
      </c>
      <c r="E378" s="34" t="s">
        <v>126</v>
      </c>
      <c r="F378" s="24">
        <f>308657.93</f>
        <v>308657.93</v>
      </c>
      <c r="G378" s="24">
        <f t="shared" ref="G378" si="245">308657.93-208657.93</f>
        <v>100000</v>
      </c>
      <c r="H378" s="24">
        <v>37979.03</v>
      </c>
      <c r="I378" s="24">
        <f t="shared" si="212"/>
        <v>62020.97</v>
      </c>
      <c r="J378" s="24">
        <f t="shared" si="213"/>
        <v>12.3</v>
      </c>
      <c r="K378" s="24">
        <f t="shared" si="214"/>
        <v>37.979999999999997</v>
      </c>
      <c r="L378" s="24"/>
      <c r="M378" s="35"/>
      <c r="N378" s="35"/>
    </row>
    <row r="379" spans="1:14" s="9" customFormat="1" ht="15.6" x14ac:dyDescent="0.3">
      <c r="A379" s="54" t="s">
        <v>44</v>
      </c>
      <c r="B379" s="55">
        <v>992</v>
      </c>
      <c r="C379" s="56" t="s">
        <v>53</v>
      </c>
      <c r="D379" s="56" t="s">
        <v>154</v>
      </c>
      <c r="E379" s="56" t="s">
        <v>27</v>
      </c>
      <c r="F379" s="21">
        <f>F380</f>
        <v>23488722.449999999</v>
      </c>
      <c r="G379" s="21">
        <f t="shared" ref="G379:H381" si="246">G380</f>
        <v>21948722.449999999</v>
      </c>
      <c r="H379" s="21">
        <f t="shared" si="246"/>
        <v>3767446.56</v>
      </c>
      <c r="I379" s="21">
        <f t="shared" si="212"/>
        <v>18181275.890000001</v>
      </c>
      <c r="J379" s="21">
        <f t="shared" si="213"/>
        <v>16.04</v>
      </c>
      <c r="K379" s="21">
        <f t="shared" si="214"/>
        <v>17.16</v>
      </c>
      <c r="L379" s="21"/>
      <c r="M379" s="35"/>
      <c r="N379" s="35"/>
    </row>
    <row r="380" spans="1:14" s="9" customFormat="1" ht="15.6" x14ac:dyDescent="0.3">
      <c r="A380" s="30" t="s">
        <v>194</v>
      </c>
      <c r="B380" s="17">
        <v>992</v>
      </c>
      <c r="C380" s="42" t="s">
        <v>195</v>
      </c>
      <c r="D380" s="42" t="s">
        <v>154</v>
      </c>
      <c r="E380" s="42" t="s">
        <v>27</v>
      </c>
      <c r="F380" s="20">
        <f>F381</f>
        <v>23488722.449999999</v>
      </c>
      <c r="G380" s="20">
        <f t="shared" si="246"/>
        <v>21948722.449999999</v>
      </c>
      <c r="H380" s="20">
        <f t="shared" si="246"/>
        <v>3767446.56</v>
      </c>
      <c r="I380" s="20">
        <f t="shared" si="212"/>
        <v>18181275.890000001</v>
      </c>
      <c r="J380" s="20">
        <f t="shared" si="213"/>
        <v>16.04</v>
      </c>
      <c r="K380" s="20">
        <f t="shared" si="214"/>
        <v>17.16</v>
      </c>
      <c r="L380" s="20"/>
      <c r="M380" s="35"/>
      <c r="N380" s="35"/>
    </row>
    <row r="381" spans="1:14" s="9" customFormat="1" ht="46.8" x14ac:dyDescent="0.3">
      <c r="A381" s="57" t="s">
        <v>353</v>
      </c>
      <c r="B381" s="17">
        <v>992</v>
      </c>
      <c r="C381" s="34" t="s">
        <v>195</v>
      </c>
      <c r="D381" s="34" t="s">
        <v>8</v>
      </c>
      <c r="E381" s="34" t="s">
        <v>27</v>
      </c>
      <c r="F381" s="20">
        <f>F382</f>
        <v>23488722.449999999</v>
      </c>
      <c r="G381" s="20">
        <f t="shared" si="246"/>
        <v>21948722.449999999</v>
      </c>
      <c r="H381" s="20">
        <f t="shared" si="246"/>
        <v>3767446.56</v>
      </c>
      <c r="I381" s="20">
        <f t="shared" si="212"/>
        <v>18181275.890000001</v>
      </c>
      <c r="J381" s="20">
        <f t="shared" si="213"/>
        <v>16.04</v>
      </c>
      <c r="K381" s="20">
        <f t="shared" si="214"/>
        <v>17.16</v>
      </c>
      <c r="L381" s="20"/>
      <c r="M381" s="35"/>
      <c r="N381" s="35"/>
    </row>
    <row r="382" spans="1:14" s="9" customFormat="1" ht="46.8" x14ac:dyDescent="0.3">
      <c r="A382" s="57" t="s">
        <v>354</v>
      </c>
      <c r="B382" s="17">
        <v>992</v>
      </c>
      <c r="C382" s="34" t="s">
        <v>195</v>
      </c>
      <c r="D382" s="34" t="s">
        <v>9</v>
      </c>
      <c r="E382" s="34" t="s">
        <v>27</v>
      </c>
      <c r="F382" s="20">
        <f>F383+F398</f>
        <v>23488722.449999999</v>
      </c>
      <c r="G382" s="20">
        <f t="shared" ref="G382:H382" si="247">G383+G398</f>
        <v>21948722.449999999</v>
      </c>
      <c r="H382" s="20">
        <f t="shared" si="247"/>
        <v>3767446.56</v>
      </c>
      <c r="I382" s="20">
        <f t="shared" si="212"/>
        <v>18181275.890000001</v>
      </c>
      <c r="J382" s="20">
        <f t="shared" si="213"/>
        <v>16.04</v>
      </c>
      <c r="K382" s="20">
        <f t="shared" si="214"/>
        <v>17.16</v>
      </c>
      <c r="L382" s="20"/>
      <c r="M382" s="35"/>
      <c r="N382" s="35"/>
    </row>
    <row r="383" spans="1:14" s="9" customFormat="1" ht="46.8" x14ac:dyDescent="0.3">
      <c r="A383" s="57" t="s">
        <v>475</v>
      </c>
      <c r="B383" s="17">
        <v>992</v>
      </c>
      <c r="C383" s="42" t="s">
        <v>195</v>
      </c>
      <c r="D383" s="34" t="s">
        <v>358</v>
      </c>
      <c r="E383" s="34" t="s">
        <v>27</v>
      </c>
      <c r="F383" s="20">
        <f>F386+F384+F388+F390+F392+F394+F396</f>
        <v>23488722.449999999</v>
      </c>
      <c r="G383" s="20">
        <f t="shared" ref="G383:H383" si="248">G386+G384+G388+G390+G392+G394+G396</f>
        <v>21948722.449999999</v>
      </c>
      <c r="H383" s="20">
        <f t="shared" si="248"/>
        <v>3767446.56</v>
      </c>
      <c r="I383" s="20">
        <f t="shared" si="212"/>
        <v>18181275.890000001</v>
      </c>
      <c r="J383" s="20">
        <f t="shared" si="213"/>
        <v>16.04</v>
      </c>
      <c r="K383" s="20">
        <f t="shared" si="214"/>
        <v>17.16</v>
      </c>
      <c r="L383" s="20"/>
      <c r="M383" s="35"/>
      <c r="N383" s="35"/>
    </row>
    <row r="384" spans="1:14" s="7" customFormat="1" ht="93.6" x14ac:dyDescent="0.25">
      <c r="A384" s="50" t="s">
        <v>117</v>
      </c>
      <c r="B384" s="17">
        <v>992</v>
      </c>
      <c r="C384" s="42" t="s">
        <v>195</v>
      </c>
      <c r="D384" s="42" t="s">
        <v>357</v>
      </c>
      <c r="E384" s="42" t="s">
        <v>27</v>
      </c>
      <c r="F384" s="24">
        <f>F385</f>
        <v>3500000</v>
      </c>
      <c r="G384" s="24">
        <f t="shared" ref="G384:H384" si="249">G385</f>
        <v>3500000</v>
      </c>
      <c r="H384" s="24">
        <f t="shared" si="249"/>
        <v>338066</v>
      </c>
      <c r="I384" s="24">
        <f t="shared" si="212"/>
        <v>3161934</v>
      </c>
      <c r="J384" s="24">
        <f t="shared" si="213"/>
        <v>9.66</v>
      </c>
      <c r="K384" s="24">
        <f t="shared" si="214"/>
        <v>9.66</v>
      </c>
      <c r="L384" s="24"/>
      <c r="M384" s="35"/>
      <c r="N384" s="35"/>
    </row>
    <row r="385" spans="1:14" s="7" customFormat="1" ht="31.2" x14ac:dyDescent="0.25">
      <c r="A385" s="33" t="s">
        <v>125</v>
      </c>
      <c r="B385" s="17">
        <v>992</v>
      </c>
      <c r="C385" s="42" t="s">
        <v>195</v>
      </c>
      <c r="D385" s="42" t="s">
        <v>357</v>
      </c>
      <c r="E385" s="42" t="s">
        <v>126</v>
      </c>
      <c r="F385" s="24">
        <v>3500000</v>
      </c>
      <c r="G385" s="24">
        <v>3500000</v>
      </c>
      <c r="H385" s="24">
        <v>338066</v>
      </c>
      <c r="I385" s="24">
        <f t="shared" si="212"/>
        <v>3161934</v>
      </c>
      <c r="J385" s="24">
        <f t="shared" si="213"/>
        <v>9.66</v>
      </c>
      <c r="K385" s="24">
        <f t="shared" si="214"/>
        <v>9.66</v>
      </c>
      <c r="L385" s="24"/>
      <c r="M385" s="35"/>
      <c r="N385" s="35"/>
    </row>
    <row r="386" spans="1:14" s="7" customFormat="1" ht="46.8" x14ac:dyDescent="0.25">
      <c r="A386" s="50" t="s">
        <v>118</v>
      </c>
      <c r="B386" s="17">
        <v>992</v>
      </c>
      <c r="C386" s="42" t="s">
        <v>195</v>
      </c>
      <c r="D386" s="42" t="s">
        <v>356</v>
      </c>
      <c r="E386" s="42" t="s">
        <v>27</v>
      </c>
      <c r="F386" s="24">
        <f>F387</f>
        <v>2515800</v>
      </c>
      <c r="G386" s="24">
        <f t="shared" ref="G386:H386" si="250">G387</f>
        <v>2515800</v>
      </c>
      <c r="H386" s="24">
        <f t="shared" si="250"/>
        <v>221484.42</v>
      </c>
      <c r="I386" s="24">
        <f t="shared" si="212"/>
        <v>2294315.58</v>
      </c>
      <c r="J386" s="24">
        <f t="shared" si="213"/>
        <v>8.8000000000000007</v>
      </c>
      <c r="K386" s="24">
        <f t="shared" si="214"/>
        <v>8.8000000000000007</v>
      </c>
      <c r="L386" s="24"/>
      <c r="M386" s="35"/>
      <c r="N386" s="35"/>
    </row>
    <row r="387" spans="1:14" s="7" customFormat="1" ht="31.2" x14ac:dyDescent="0.25">
      <c r="A387" s="30" t="s">
        <v>125</v>
      </c>
      <c r="B387" s="17">
        <v>992</v>
      </c>
      <c r="C387" s="42" t="s">
        <v>195</v>
      </c>
      <c r="D387" s="42" t="s">
        <v>356</v>
      </c>
      <c r="E387" s="42" t="s">
        <v>126</v>
      </c>
      <c r="F387" s="24">
        <v>2515800</v>
      </c>
      <c r="G387" s="24">
        <v>2515800</v>
      </c>
      <c r="H387" s="24">
        <v>221484.42</v>
      </c>
      <c r="I387" s="24">
        <f t="shared" si="212"/>
        <v>2294315.58</v>
      </c>
      <c r="J387" s="24">
        <f t="shared" si="213"/>
        <v>8.8000000000000007</v>
      </c>
      <c r="K387" s="24">
        <f t="shared" si="214"/>
        <v>8.8000000000000007</v>
      </c>
      <c r="L387" s="24"/>
      <c r="M387" s="35"/>
      <c r="N387" s="35"/>
    </row>
    <row r="388" spans="1:14" s="9" customFormat="1" ht="46.8" x14ac:dyDescent="0.3">
      <c r="A388" s="30" t="s">
        <v>151</v>
      </c>
      <c r="B388" s="17">
        <v>992</v>
      </c>
      <c r="C388" s="42" t="s">
        <v>195</v>
      </c>
      <c r="D388" s="42" t="s">
        <v>359</v>
      </c>
      <c r="E388" s="42" t="s">
        <v>27</v>
      </c>
      <c r="F388" s="24">
        <f>F389</f>
        <v>15642170</v>
      </c>
      <c r="G388" s="24">
        <f t="shared" ref="G388:H388" si="251">G389</f>
        <v>15642170</v>
      </c>
      <c r="H388" s="24">
        <f t="shared" si="251"/>
        <v>3204659.56</v>
      </c>
      <c r="I388" s="24">
        <f t="shared" si="212"/>
        <v>12437510.439999999</v>
      </c>
      <c r="J388" s="24">
        <f t="shared" si="213"/>
        <v>20.49</v>
      </c>
      <c r="K388" s="24">
        <f t="shared" si="214"/>
        <v>20.49</v>
      </c>
      <c r="L388" s="24"/>
      <c r="M388" s="35"/>
      <c r="N388" s="35"/>
    </row>
    <row r="389" spans="1:14" s="9" customFormat="1" ht="15.6" x14ac:dyDescent="0.3">
      <c r="A389" s="30" t="s">
        <v>152</v>
      </c>
      <c r="B389" s="17">
        <v>992</v>
      </c>
      <c r="C389" s="42" t="s">
        <v>195</v>
      </c>
      <c r="D389" s="42" t="s">
        <v>359</v>
      </c>
      <c r="E389" s="42" t="s">
        <v>153</v>
      </c>
      <c r="F389" s="24">
        <f>17505565.45-1863395.45</f>
        <v>15642170</v>
      </c>
      <c r="G389" s="24">
        <f t="shared" ref="G389" si="252">17505565.45-1863395.45</f>
        <v>15642170</v>
      </c>
      <c r="H389" s="24">
        <v>3204659.56</v>
      </c>
      <c r="I389" s="24">
        <f t="shared" si="212"/>
        <v>12437510.439999999</v>
      </c>
      <c r="J389" s="24">
        <f t="shared" si="213"/>
        <v>20.49</v>
      </c>
      <c r="K389" s="24">
        <f t="shared" si="214"/>
        <v>20.49</v>
      </c>
      <c r="L389" s="24"/>
      <c r="M389" s="35"/>
      <c r="N389" s="35"/>
    </row>
    <row r="390" spans="1:14" s="9" customFormat="1" ht="46.8" x14ac:dyDescent="0.3">
      <c r="A390" s="43" t="s">
        <v>227</v>
      </c>
      <c r="B390" s="17">
        <v>992</v>
      </c>
      <c r="C390" s="42" t="s">
        <v>195</v>
      </c>
      <c r="D390" s="37" t="s">
        <v>355</v>
      </c>
      <c r="E390" s="42" t="s">
        <v>27</v>
      </c>
      <c r="F390" s="20">
        <f>F391</f>
        <v>276214.83</v>
      </c>
      <c r="G390" s="20">
        <f t="shared" ref="G390:H390" si="253">G391</f>
        <v>276214.83</v>
      </c>
      <c r="H390" s="20">
        <f t="shared" si="253"/>
        <v>0</v>
      </c>
      <c r="I390" s="20">
        <f t="shared" si="212"/>
        <v>276214.83</v>
      </c>
      <c r="J390" s="20">
        <f t="shared" si="213"/>
        <v>0</v>
      </c>
      <c r="K390" s="20">
        <f t="shared" si="214"/>
        <v>0</v>
      </c>
      <c r="L390" s="20"/>
      <c r="M390" s="35"/>
      <c r="N390" s="35"/>
    </row>
    <row r="391" spans="1:14" s="9" customFormat="1" ht="31.2" x14ac:dyDescent="0.3">
      <c r="A391" s="33" t="s">
        <v>125</v>
      </c>
      <c r="B391" s="17">
        <v>992</v>
      </c>
      <c r="C391" s="42" t="s">
        <v>195</v>
      </c>
      <c r="D391" s="37" t="s">
        <v>355</v>
      </c>
      <c r="E391" s="42" t="s">
        <v>126</v>
      </c>
      <c r="F391" s="15">
        <v>276214.83</v>
      </c>
      <c r="G391" s="15">
        <v>276214.83</v>
      </c>
      <c r="H391" s="15">
        <v>0</v>
      </c>
      <c r="I391" s="15">
        <f t="shared" si="212"/>
        <v>276214.83</v>
      </c>
      <c r="J391" s="15">
        <f t="shared" si="213"/>
        <v>0</v>
      </c>
      <c r="K391" s="15">
        <f t="shared" si="214"/>
        <v>0</v>
      </c>
      <c r="L391" s="15"/>
      <c r="M391" s="35"/>
      <c r="N391" s="35"/>
    </row>
    <row r="392" spans="1:14" s="9" customFormat="1" ht="46.8" x14ac:dyDescent="0.3">
      <c r="A392" s="43" t="s">
        <v>235</v>
      </c>
      <c r="B392" s="17">
        <v>992</v>
      </c>
      <c r="C392" s="42" t="s">
        <v>195</v>
      </c>
      <c r="D392" s="37" t="s">
        <v>355</v>
      </c>
      <c r="E392" s="42" t="s">
        <v>27</v>
      </c>
      <c r="F392" s="20">
        <f>F393</f>
        <v>14537.62</v>
      </c>
      <c r="G392" s="20">
        <f t="shared" ref="G392:H392" si="254">G393</f>
        <v>14537.62</v>
      </c>
      <c r="H392" s="20">
        <f t="shared" si="254"/>
        <v>3236.58</v>
      </c>
      <c r="I392" s="20">
        <f t="shared" si="212"/>
        <v>11301.04</v>
      </c>
      <c r="J392" s="20">
        <f t="shared" si="213"/>
        <v>22.26</v>
      </c>
      <c r="K392" s="20">
        <f t="shared" si="214"/>
        <v>22.26</v>
      </c>
      <c r="L392" s="20"/>
      <c r="M392" s="35"/>
      <c r="N392" s="35"/>
    </row>
    <row r="393" spans="1:14" s="9" customFormat="1" ht="31.2" x14ac:dyDescent="0.3">
      <c r="A393" s="33" t="s">
        <v>125</v>
      </c>
      <c r="B393" s="17">
        <v>992</v>
      </c>
      <c r="C393" s="42" t="s">
        <v>195</v>
      </c>
      <c r="D393" s="37" t="s">
        <v>355</v>
      </c>
      <c r="E393" s="42" t="s">
        <v>126</v>
      </c>
      <c r="F393" s="20">
        <v>14537.62</v>
      </c>
      <c r="G393" s="20">
        <v>14537.62</v>
      </c>
      <c r="H393" s="20">
        <v>3236.58</v>
      </c>
      <c r="I393" s="20">
        <f t="shared" si="212"/>
        <v>11301.04</v>
      </c>
      <c r="J393" s="20">
        <f t="shared" si="213"/>
        <v>22.26</v>
      </c>
      <c r="K393" s="20">
        <f t="shared" si="214"/>
        <v>22.26</v>
      </c>
      <c r="L393" s="20"/>
      <c r="M393" s="35"/>
      <c r="N393" s="35"/>
    </row>
    <row r="394" spans="1:14" s="9" customFormat="1" ht="75" customHeight="1" x14ac:dyDescent="0.3">
      <c r="A394" s="43" t="s">
        <v>482</v>
      </c>
      <c r="B394" s="17">
        <v>992</v>
      </c>
      <c r="C394" s="42" t="s">
        <v>195</v>
      </c>
      <c r="D394" s="37" t="s">
        <v>483</v>
      </c>
      <c r="E394" s="42" t="s">
        <v>27</v>
      </c>
      <c r="F394" s="20">
        <f>F395</f>
        <v>1463000</v>
      </c>
      <c r="G394" s="20">
        <f t="shared" ref="G394:H394" si="255">G395</f>
        <v>0</v>
      </c>
      <c r="H394" s="20">
        <f t="shared" si="255"/>
        <v>0</v>
      </c>
      <c r="I394" s="20">
        <f t="shared" si="212"/>
        <v>0</v>
      </c>
      <c r="J394" s="20">
        <f t="shared" si="213"/>
        <v>0</v>
      </c>
      <c r="K394" s="20" t="s">
        <v>668</v>
      </c>
      <c r="L394" s="20"/>
      <c r="M394" s="35"/>
      <c r="N394" s="35"/>
    </row>
    <row r="395" spans="1:14" s="9" customFormat="1" ht="31.2" x14ac:dyDescent="0.3">
      <c r="A395" s="33" t="s">
        <v>125</v>
      </c>
      <c r="B395" s="17">
        <v>992</v>
      </c>
      <c r="C395" s="42" t="s">
        <v>195</v>
      </c>
      <c r="D395" s="37" t="s">
        <v>483</v>
      </c>
      <c r="E395" s="42" t="s">
        <v>126</v>
      </c>
      <c r="F395" s="15">
        <f>1463000</f>
        <v>1463000</v>
      </c>
      <c r="G395" s="15">
        <f t="shared" ref="G395:H395" si="256">1463000-1463000</f>
        <v>0</v>
      </c>
      <c r="H395" s="15">
        <f t="shared" si="256"/>
        <v>0</v>
      </c>
      <c r="I395" s="15">
        <f t="shared" si="212"/>
        <v>0</v>
      </c>
      <c r="J395" s="15">
        <f t="shared" si="213"/>
        <v>0</v>
      </c>
      <c r="K395" s="15" t="s">
        <v>668</v>
      </c>
      <c r="L395" s="15"/>
      <c r="M395" s="35"/>
      <c r="N395" s="35"/>
    </row>
    <row r="396" spans="1:14" s="9" customFormat="1" ht="62.4" x14ac:dyDescent="0.3">
      <c r="A396" s="43" t="s">
        <v>529</v>
      </c>
      <c r="B396" s="17">
        <v>992</v>
      </c>
      <c r="C396" s="42" t="s">
        <v>195</v>
      </c>
      <c r="D396" s="37" t="s">
        <v>483</v>
      </c>
      <c r="E396" s="42" t="s">
        <v>27</v>
      </c>
      <c r="F396" s="20">
        <f>F397</f>
        <v>77000</v>
      </c>
      <c r="G396" s="20">
        <f t="shared" ref="G396:H396" si="257">G397</f>
        <v>0</v>
      </c>
      <c r="H396" s="20">
        <f t="shared" si="257"/>
        <v>0</v>
      </c>
      <c r="I396" s="20">
        <f t="shared" si="212"/>
        <v>0</v>
      </c>
      <c r="J396" s="20">
        <f t="shared" si="213"/>
        <v>0</v>
      </c>
      <c r="K396" s="20" t="s">
        <v>668</v>
      </c>
      <c r="L396" s="20"/>
      <c r="M396" s="35"/>
      <c r="N396" s="35"/>
    </row>
    <row r="397" spans="1:14" s="9" customFormat="1" ht="31.2" x14ac:dyDescent="0.3">
      <c r="A397" s="33" t="s">
        <v>125</v>
      </c>
      <c r="B397" s="17">
        <v>992</v>
      </c>
      <c r="C397" s="42" t="s">
        <v>195</v>
      </c>
      <c r="D397" s="37" t="s">
        <v>483</v>
      </c>
      <c r="E397" s="42" t="s">
        <v>126</v>
      </c>
      <c r="F397" s="20">
        <f>77000</f>
        <v>77000</v>
      </c>
      <c r="G397" s="20">
        <f t="shared" ref="G397:H397" si="258">77000-77000</f>
        <v>0</v>
      </c>
      <c r="H397" s="20">
        <f t="shared" si="258"/>
        <v>0</v>
      </c>
      <c r="I397" s="20">
        <f t="shared" si="212"/>
        <v>0</v>
      </c>
      <c r="J397" s="20">
        <f t="shared" si="213"/>
        <v>0</v>
      </c>
      <c r="K397" s="20" t="s">
        <v>668</v>
      </c>
      <c r="L397" s="20"/>
      <c r="M397" s="35"/>
      <c r="N397" s="35"/>
    </row>
    <row r="398" spans="1:14" s="9" customFormat="1" ht="109.2" x14ac:dyDescent="0.3">
      <c r="A398" s="57" t="s">
        <v>474</v>
      </c>
      <c r="B398" s="17">
        <v>992</v>
      </c>
      <c r="C398" s="42" t="s">
        <v>195</v>
      </c>
      <c r="D398" s="34" t="s">
        <v>473</v>
      </c>
      <c r="E398" s="34" t="s">
        <v>27</v>
      </c>
      <c r="F398" s="20">
        <f>F399</f>
        <v>0</v>
      </c>
      <c r="G398" s="20">
        <f t="shared" ref="G398:H399" si="259">G399</f>
        <v>0</v>
      </c>
      <c r="H398" s="20">
        <f t="shared" si="259"/>
        <v>0</v>
      </c>
      <c r="I398" s="20">
        <f t="shared" ref="I398:I461" si="260">$G398-$H398</f>
        <v>0</v>
      </c>
      <c r="J398" s="20" t="s">
        <v>668</v>
      </c>
      <c r="K398" s="20" t="s">
        <v>668</v>
      </c>
      <c r="L398" s="20"/>
      <c r="M398" s="35"/>
      <c r="N398" s="35"/>
    </row>
    <row r="399" spans="1:14" s="7" customFormat="1" ht="93.6" x14ac:dyDescent="0.25">
      <c r="A399" s="50" t="s">
        <v>607</v>
      </c>
      <c r="B399" s="17">
        <v>992</v>
      </c>
      <c r="C399" s="42" t="s">
        <v>195</v>
      </c>
      <c r="D399" s="34" t="s">
        <v>472</v>
      </c>
      <c r="E399" s="42" t="s">
        <v>27</v>
      </c>
      <c r="F399" s="24">
        <f>F400</f>
        <v>0</v>
      </c>
      <c r="G399" s="24">
        <f t="shared" si="259"/>
        <v>0</v>
      </c>
      <c r="H399" s="24">
        <f t="shared" si="259"/>
        <v>0</v>
      </c>
      <c r="I399" s="24">
        <f t="shared" si="260"/>
        <v>0</v>
      </c>
      <c r="J399" s="24" t="s">
        <v>668</v>
      </c>
      <c r="K399" s="24" t="s">
        <v>668</v>
      </c>
      <c r="L399" s="24"/>
      <c r="M399" s="35"/>
      <c r="N399" s="35"/>
    </row>
    <row r="400" spans="1:14" s="7" customFormat="1" ht="15.6" x14ac:dyDescent="0.25">
      <c r="A400" s="33" t="s">
        <v>132</v>
      </c>
      <c r="B400" s="17">
        <v>992</v>
      </c>
      <c r="C400" s="42" t="s">
        <v>195</v>
      </c>
      <c r="D400" s="34" t="s">
        <v>472</v>
      </c>
      <c r="E400" s="42" t="s">
        <v>133</v>
      </c>
      <c r="F400" s="24">
        <f>1235430-1235430</f>
        <v>0</v>
      </c>
      <c r="G400" s="24">
        <f t="shared" ref="G400:H400" si="261">1235430-1235430</f>
        <v>0</v>
      </c>
      <c r="H400" s="24">
        <f t="shared" si="261"/>
        <v>0</v>
      </c>
      <c r="I400" s="24">
        <f t="shared" si="260"/>
        <v>0</v>
      </c>
      <c r="J400" s="24" t="s">
        <v>668</v>
      </c>
      <c r="K400" s="24" t="s">
        <v>668</v>
      </c>
      <c r="L400" s="24"/>
      <c r="M400" s="35"/>
      <c r="N400" s="35"/>
    </row>
    <row r="401" spans="1:14" s="7" customFormat="1" ht="15.6" x14ac:dyDescent="0.25">
      <c r="A401" s="54" t="s">
        <v>79</v>
      </c>
      <c r="B401" s="55">
        <v>992</v>
      </c>
      <c r="C401" s="56" t="s">
        <v>80</v>
      </c>
      <c r="D401" s="55" t="s">
        <v>154</v>
      </c>
      <c r="E401" s="56" t="s">
        <v>27</v>
      </c>
      <c r="F401" s="26">
        <f>F402</f>
        <v>6549962.5</v>
      </c>
      <c r="G401" s="26">
        <f t="shared" ref="G401:H403" si="262">G402</f>
        <v>6549962.5</v>
      </c>
      <c r="H401" s="26">
        <f t="shared" si="262"/>
        <v>1637490.6</v>
      </c>
      <c r="I401" s="26">
        <f t="shared" si="260"/>
        <v>4912471.9000000004</v>
      </c>
      <c r="J401" s="26">
        <f t="shared" ref="J401:J460" si="263">$H401/$F401*100</f>
        <v>25</v>
      </c>
      <c r="K401" s="26">
        <f t="shared" ref="K401:K460" si="264">$H401/$G401*100</f>
        <v>25</v>
      </c>
      <c r="L401" s="26"/>
      <c r="M401" s="35"/>
      <c r="N401" s="35"/>
    </row>
    <row r="402" spans="1:14" s="7" customFormat="1" ht="15.6" x14ac:dyDescent="0.25">
      <c r="A402" s="30" t="s">
        <v>81</v>
      </c>
      <c r="B402" s="17">
        <v>992</v>
      </c>
      <c r="C402" s="34" t="s">
        <v>82</v>
      </c>
      <c r="D402" s="17" t="s">
        <v>154</v>
      </c>
      <c r="E402" s="34" t="s">
        <v>27</v>
      </c>
      <c r="F402" s="24">
        <f>F403</f>
        <v>6549962.5</v>
      </c>
      <c r="G402" s="24">
        <f t="shared" si="262"/>
        <v>6549962.5</v>
      </c>
      <c r="H402" s="24">
        <f t="shared" si="262"/>
        <v>1637490.6</v>
      </c>
      <c r="I402" s="24">
        <f t="shared" si="260"/>
        <v>4912471.9000000004</v>
      </c>
      <c r="J402" s="24">
        <f t="shared" si="263"/>
        <v>25</v>
      </c>
      <c r="K402" s="24">
        <f t="shared" si="264"/>
        <v>25</v>
      </c>
      <c r="L402" s="24"/>
      <c r="M402" s="35"/>
      <c r="N402" s="35"/>
    </row>
    <row r="403" spans="1:14" s="7" customFormat="1" ht="46.8" x14ac:dyDescent="0.25">
      <c r="A403" s="57" t="s">
        <v>360</v>
      </c>
      <c r="B403" s="17">
        <v>992</v>
      </c>
      <c r="C403" s="34" t="s">
        <v>82</v>
      </c>
      <c r="D403" s="17" t="s">
        <v>161</v>
      </c>
      <c r="E403" s="34" t="s">
        <v>27</v>
      </c>
      <c r="F403" s="24">
        <f>F404</f>
        <v>6549962.5</v>
      </c>
      <c r="G403" s="24">
        <f t="shared" si="262"/>
        <v>6549962.5</v>
      </c>
      <c r="H403" s="24">
        <f t="shared" si="262"/>
        <v>1637490.6</v>
      </c>
      <c r="I403" s="24">
        <f t="shared" si="260"/>
        <v>4912471.9000000004</v>
      </c>
      <c r="J403" s="24">
        <f t="shared" si="263"/>
        <v>25</v>
      </c>
      <c r="K403" s="24">
        <f t="shared" si="264"/>
        <v>25</v>
      </c>
      <c r="L403" s="24"/>
      <c r="M403" s="35"/>
      <c r="N403" s="35"/>
    </row>
    <row r="404" spans="1:14" s="7" customFormat="1" ht="15.6" x14ac:dyDescent="0.25">
      <c r="A404" s="61" t="s">
        <v>361</v>
      </c>
      <c r="B404" s="17">
        <v>992</v>
      </c>
      <c r="C404" s="34" t="s">
        <v>82</v>
      </c>
      <c r="D404" s="17" t="s">
        <v>163</v>
      </c>
      <c r="E404" s="34" t="s">
        <v>27</v>
      </c>
      <c r="F404" s="24">
        <f>F406</f>
        <v>6549962.5</v>
      </c>
      <c r="G404" s="24">
        <f t="shared" ref="G404:H404" si="265">G406</f>
        <v>6549962.5</v>
      </c>
      <c r="H404" s="24">
        <f t="shared" si="265"/>
        <v>1637490.6</v>
      </c>
      <c r="I404" s="24">
        <f t="shared" si="260"/>
        <v>4912471.9000000004</v>
      </c>
      <c r="J404" s="24">
        <f t="shared" si="263"/>
        <v>25</v>
      </c>
      <c r="K404" s="24">
        <f t="shared" si="264"/>
        <v>25</v>
      </c>
      <c r="L404" s="24"/>
      <c r="M404" s="35"/>
      <c r="N404" s="35"/>
    </row>
    <row r="405" spans="1:14" s="7" customFormat="1" ht="31.2" x14ac:dyDescent="0.25">
      <c r="A405" s="61" t="s">
        <v>363</v>
      </c>
      <c r="B405" s="17">
        <v>992</v>
      </c>
      <c r="C405" s="34" t="s">
        <v>82</v>
      </c>
      <c r="D405" s="17" t="s">
        <v>362</v>
      </c>
      <c r="E405" s="34" t="s">
        <v>27</v>
      </c>
      <c r="F405" s="24">
        <f>F407</f>
        <v>6549962.5</v>
      </c>
      <c r="G405" s="24">
        <f t="shared" ref="G405:H405" si="266">G407</f>
        <v>6549962.5</v>
      </c>
      <c r="H405" s="24">
        <f t="shared" si="266"/>
        <v>1637490.6</v>
      </c>
      <c r="I405" s="24">
        <f t="shared" si="260"/>
        <v>4912471.9000000004</v>
      </c>
      <c r="J405" s="24">
        <f t="shared" si="263"/>
        <v>25</v>
      </c>
      <c r="K405" s="24">
        <f t="shared" si="264"/>
        <v>25</v>
      </c>
      <c r="L405" s="24"/>
      <c r="M405" s="35"/>
      <c r="N405" s="35"/>
    </row>
    <row r="406" spans="1:14" s="7" customFormat="1" ht="46.8" x14ac:dyDescent="0.25">
      <c r="A406" s="30" t="s">
        <v>364</v>
      </c>
      <c r="B406" s="17">
        <v>992</v>
      </c>
      <c r="C406" s="34" t="s">
        <v>82</v>
      </c>
      <c r="D406" s="17" t="s">
        <v>365</v>
      </c>
      <c r="E406" s="34" t="s">
        <v>27</v>
      </c>
      <c r="F406" s="24">
        <f>F407</f>
        <v>6549962.5</v>
      </c>
      <c r="G406" s="24">
        <f t="shared" ref="G406:H406" si="267">G407</f>
        <v>6549962.5</v>
      </c>
      <c r="H406" s="24">
        <f t="shared" si="267"/>
        <v>1637490.6</v>
      </c>
      <c r="I406" s="24">
        <f t="shared" si="260"/>
        <v>4912471.9000000004</v>
      </c>
      <c r="J406" s="24">
        <f t="shared" si="263"/>
        <v>25</v>
      </c>
      <c r="K406" s="24">
        <f t="shared" si="264"/>
        <v>25</v>
      </c>
      <c r="L406" s="24"/>
      <c r="M406" s="35"/>
      <c r="N406" s="35"/>
    </row>
    <row r="407" spans="1:14" s="9" customFormat="1" ht="15.6" x14ac:dyDescent="0.3">
      <c r="A407" s="30" t="s">
        <v>138</v>
      </c>
      <c r="B407" s="17">
        <v>992</v>
      </c>
      <c r="C407" s="34" t="s">
        <v>82</v>
      </c>
      <c r="D407" s="17" t="s">
        <v>365</v>
      </c>
      <c r="E407" s="34" t="s">
        <v>139</v>
      </c>
      <c r="F407" s="24">
        <v>6549962.5</v>
      </c>
      <c r="G407" s="24">
        <v>6549962.5</v>
      </c>
      <c r="H407" s="24">
        <v>1637490.6</v>
      </c>
      <c r="I407" s="24">
        <f t="shared" si="260"/>
        <v>4912471.9000000004</v>
      </c>
      <c r="J407" s="24">
        <f t="shared" si="263"/>
        <v>25</v>
      </c>
      <c r="K407" s="24">
        <f t="shared" si="264"/>
        <v>25</v>
      </c>
      <c r="L407" s="24"/>
      <c r="M407" s="35"/>
      <c r="N407" s="35"/>
    </row>
    <row r="408" spans="1:14" s="9" customFormat="1" ht="31.2" x14ac:dyDescent="0.3">
      <c r="A408" s="54" t="s">
        <v>30</v>
      </c>
      <c r="B408" s="55">
        <v>992</v>
      </c>
      <c r="C408" s="71" t="s">
        <v>72</v>
      </c>
      <c r="D408" s="71" t="s">
        <v>154</v>
      </c>
      <c r="E408" s="71" t="s">
        <v>27</v>
      </c>
      <c r="F408" s="26">
        <f t="shared" ref="F408:H413" si="268">F409</f>
        <v>25000</v>
      </c>
      <c r="G408" s="26">
        <f t="shared" si="268"/>
        <v>25000</v>
      </c>
      <c r="H408" s="26">
        <f t="shared" si="268"/>
        <v>3662.26</v>
      </c>
      <c r="I408" s="26">
        <f t="shared" si="260"/>
        <v>21337.74</v>
      </c>
      <c r="J408" s="26">
        <f t="shared" si="263"/>
        <v>14.65</v>
      </c>
      <c r="K408" s="26">
        <f t="shared" si="264"/>
        <v>14.65</v>
      </c>
      <c r="L408" s="26"/>
      <c r="M408" s="35"/>
      <c r="N408" s="35"/>
    </row>
    <row r="409" spans="1:14" s="7" customFormat="1" ht="31.2" x14ac:dyDescent="0.25">
      <c r="A409" s="30" t="s">
        <v>73</v>
      </c>
      <c r="B409" s="17">
        <v>992</v>
      </c>
      <c r="C409" s="34" t="s">
        <v>366</v>
      </c>
      <c r="D409" s="17" t="s">
        <v>154</v>
      </c>
      <c r="E409" s="34" t="s">
        <v>27</v>
      </c>
      <c r="F409" s="24">
        <f t="shared" si="268"/>
        <v>25000</v>
      </c>
      <c r="G409" s="24">
        <f t="shared" si="268"/>
        <v>25000</v>
      </c>
      <c r="H409" s="24">
        <f t="shared" si="268"/>
        <v>3662.26</v>
      </c>
      <c r="I409" s="24">
        <f t="shared" si="260"/>
        <v>21337.74</v>
      </c>
      <c r="J409" s="24">
        <f t="shared" si="263"/>
        <v>14.65</v>
      </c>
      <c r="K409" s="24">
        <f t="shared" si="264"/>
        <v>14.65</v>
      </c>
      <c r="L409" s="24"/>
      <c r="M409" s="35"/>
      <c r="N409" s="35"/>
    </row>
    <row r="410" spans="1:14" s="9" customFormat="1" ht="46.8" x14ac:dyDescent="0.3">
      <c r="A410" s="50" t="s">
        <v>320</v>
      </c>
      <c r="B410" s="17">
        <v>992</v>
      </c>
      <c r="C410" s="34" t="s">
        <v>366</v>
      </c>
      <c r="D410" s="17" t="s">
        <v>155</v>
      </c>
      <c r="E410" s="34" t="s">
        <v>27</v>
      </c>
      <c r="F410" s="20">
        <f t="shared" si="268"/>
        <v>25000</v>
      </c>
      <c r="G410" s="20">
        <f t="shared" si="268"/>
        <v>25000</v>
      </c>
      <c r="H410" s="20">
        <f t="shared" si="268"/>
        <v>3662.26</v>
      </c>
      <c r="I410" s="20">
        <f t="shared" si="260"/>
        <v>21337.74</v>
      </c>
      <c r="J410" s="20">
        <f t="shared" si="263"/>
        <v>14.65</v>
      </c>
      <c r="K410" s="20">
        <f t="shared" si="264"/>
        <v>14.65</v>
      </c>
      <c r="L410" s="20"/>
      <c r="M410" s="35"/>
      <c r="N410" s="35"/>
    </row>
    <row r="411" spans="1:14" s="7" customFormat="1" ht="31.2" x14ac:dyDescent="0.25">
      <c r="A411" s="30" t="s">
        <v>318</v>
      </c>
      <c r="B411" s="17">
        <v>992</v>
      </c>
      <c r="C411" s="34" t="s">
        <v>366</v>
      </c>
      <c r="D411" s="17" t="s">
        <v>256</v>
      </c>
      <c r="E411" s="34" t="s">
        <v>27</v>
      </c>
      <c r="F411" s="20">
        <f t="shared" si="268"/>
        <v>25000</v>
      </c>
      <c r="G411" s="20">
        <f t="shared" si="268"/>
        <v>25000</v>
      </c>
      <c r="H411" s="20">
        <f t="shared" si="268"/>
        <v>3662.26</v>
      </c>
      <c r="I411" s="20">
        <f t="shared" si="260"/>
        <v>21337.74</v>
      </c>
      <c r="J411" s="20">
        <f t="shared" si="263"/>
        <v>14.65</v>
      </c>
      <c r="K411" s="20">
        <f t="shared" si="264"/>
        <v>14.65</v>
      </c>
      <c r="L411" s="20"/>
      <c r="M411" s="35"/>
      <c r="N411" s="35"/>
    </row>
    <row r="412" spans="1:14" s="7" customFormat="1" ht="15.6" x14ac:dyDescent="0.25">
      <c r="A412" s="30" t="s">
        <v>319</v>
      </c>
      <c r="B412" s="17">
        <v>992</v>
      </c>
      <c r="C412" s="34" t="s">
        <v>366</v>
      </c>
      <c r="D412" s="17" t="s">
        <v>253</v>
      </c>
      <c r="E412" s="34" t="s">
        <v>27</v>
      </c>
      <c r="F412" s="20">
        <f t="shared" si="268"/>
        <v>25000</v>
      </c>
      <c r="G412" s="20">
        <f t="shared" si="268"/>
        <v>25000</v>
      </c>
      <c r="H412" s="20">
        <f t="shared" si="268"/>
        <v>3662.26</v>
      </c>
      <c r="I412" s="20">
        <f t="shared" si="260"/>
        <v>21337.74</v>
      </c>
      <c r="J412" s="20">
        <f t="shared" si="263"/>
        <v>14.65</v>
      </c>
      <c r="K412" s="20">
        <f t="shared" si="264"/>
        <v>14.65</v>
      </c>
      <c r="L412" s="20"/>
      <c r="M412" s="35"/>
      <c r="N412" s="35"/>
    </row>
    <row r="413" spans="1:14" s="7" customFormat="1" ht="15.6" x14ac:dyDescent="0.25">
      <c r="A413" s="30" t="s">
        <v>41</v>
      </c>
      <c r="B413" s="17">
        <v>992</v>
      </c>
      <c r="C413" s="34" t="s">
        <v>366</v>
      </c>
      <c r="D413" s="17" t="s">
        <v>367</v>
      </c>
      <c r="E413" s="34" t="s">
        <v>27</v>
      </c>
      <c r="F413" s="24">
        <f t="shared" si="268"/>
        <v>25000</v>
      </c>
      <c r="G413" s="24">
        <f t="shared" si="268"/>
        <v>25000</v>
      </c>
      <c r="H413" s="24">
        <f t="shared" si="268"/>
        <v>3662.26</v>
      </c>
      <c r="I413" s="24">
        <f t="shared" si="260"/>
        <v>21337.74</v>
      </c>
      <c r="J413" s="24">
        <f t="shared" si="263"/>
        <v>14.65</v>
      </c>
      <c r="K413" s="24">
        <f t="shared" si="264"/>
        <v>14.65</v>
      </c>
      <c r="L413" s="24"/>
      <c r="M413" s="35"/>
      <c r="N413" s="35"/>
    </row>
    <row r="414" spans="1:14" s="7" customFormat="1" ht="15.6" x14ac:dyDescent="0.25">
      <c r="A414" s="30" t="s">
        <v>121</v>
      </c>
      <c r="B414" s="17">
        <v>992</v>
      </c>
      <c r="C414" s="34" t="s">
        <v>366</v>
      </c>
      <c r="D414" s="17" t="s">
        <v>367</v>
      </c>
      <c r="E414" s="34" t="s">
        <v>122</v>
      </c>
      <c r="F414" s="24">
        <v>25000</v>
      </c>
      <c r="G414" s="24">
        <v>25000</v>
      </c>
      <c r="H414" s="24">
        <v>3662.26</v>
      </c>
      <c r="I414" s="24">
        <f t="shared" si="260"/>
        <v>21337.74</v>
      </c>
      <c r="J414" s="24">
        <f t="shared" si="263"/>
        <v>14.65</v>
      </c>
      <c r="K414" s="24">
        <f t="shared" si="264"/>
        <v>14.65</v>
      </c>
      <c r="L414" s="24"/>
      <c r="M414" s="35"/>
      <c r="N414" s="35"/>
    </row>
    <row r="415" spans="1:14" s="7" customFormat="1" ht="46.8" x14ac:dyDescent="0.25">
      <c r="A415" s="54" t="s">
        <v>468</v>
      </c>
      <c r="B415" s="55">
        <v>994</v>
      </c>
      <c r="C415" s="72" t="s">
        <v>28</v>
      </c>
      <c r="D415" s="72" t="s">
        <v>154</v>
      </c>
      <c r="E415" s="72" t="s">
        <v>27</v>
      </c>
      <c r="F415" s="21">
        <f>F416</f>
        <v>116352491.58</v>
      </c>
      <c r="G415" s="21">
        <f t="shared" ref="G415:H415" si="269">G416</f>
        <v>140073731.55000001</v>
      </c>
      <c r="H415" s="21">
        <f t="shared" si="269"/>
        <v>16368370.130000001</v>
      </c>
      <c r="I415" s="21">
        <f t="shared" si="260"/>
        <v>123705361.42</v>
      </c>
      <c r="J415" s="21">
        <f t="shared" si="263"/>
        <v>14.07</v>
      </c>
      <c r="K415" s="21">
        <f t="shared" si="264"/>
        <v>11.69</v>
      </c>
      <c r="L415" s="21"/>
      <c r="M415" s="35"/>
      <c r="N415" s="35"/>
    </row>
    <row r="416" spans="1:14" s="7" customFormat="1" ht="15.6" x14ac:dyDescent="0.25">
      <c r="A416" s="54" t="s">
        <v>74</v>
      </c>
      <c r="B416" s="55">
        <v>994</v>
      </c>
      <c r="C416" s="72" t="s">
        <v>52</v>
      </c>
      <c r="D416" s="72" t="s">
        <v>154</v>
      </c>
      <c r="E416" s="72" t="s">
        <v>27</v>
      </c>
      <c r="F416" s="21">
        <f>F417+F466</f>
        <v>116352491.58</v>
      </c>
      <c r="G416" s="21">
        <f t="shared" ref="G416:H416" si="270">G417+G466</f>
        <v>140073731.55000001</v>
      </c>
      <c r="H416" s="21">
        <f t="shared" si="270"/>
        <v>16368370.130000001</v>
      </c>
      <c r="I416" s="21">
        <f t="shared" si="260"/>
        <v>123705361.42</v>
      </c>
      <c r="J416" s="21">
        <f t="shared" si="263"/>
        <v>14.07</v>
      </c>
      <c r="K416" s="21">
        <f t="shared" si="264"/>
        <v>11.69</v>
      </c>
      <c r="L416" s="21"/>
      <c r="M416" s="35"/>
      <c r="N416" s="35"/>
    </row>
    <row r="417" spans="1:14" s="9" customFormat="1" ht="15.6" x14ac:dyDescent="0.3">
      <c r="A417" s="50" t="s">
        <v>42</v>
      </c>
      <c r="B417" s="34" t="s">
        <v>55</v>
      </c>
      <c r="C417" s="41" t="s">
        <v>40</v>
      </c>
      <c r="D417" s="41" t="s">
        <v>154</v>
      </c>
      <c r="E417" s="41" t="s">
        <v>27</v>
      </c>
      <c r="F417" s="20">
        <f t="shared" ref="F417:H417" si="271">F418</f>
        <v>102579471.58</v>
      </c>
      <c r="G417" s="20">
        <f t="shared" si="271"/>
        <v>123118141.55</v>
      </c>
      <c r="H417" s="20">
        <f t="shared" si="271"/>
        <v>13411964.59</v>
      </c>
      <c r="I417" s="20">
        <f t="shared" si="260"/>
        <v>109706176.95999999</v>
      </c>
      <c r="J417" s="20">
        <f t="shared" si="263"/>
        <v>13.07</v>
      </c>
      <c r="K417" s="20">
        <f t="shared" si="264"/>
        <v>10.89</v>
      </c>
      <c r="L417" s="20"/>
      <c r="M417" s="35"/>
      <c r="N417" s="35"/>
    </row>
    <row r="418" spans="1:14" s="9" customFormat="1" ht="46.8" x14ac:dyDescent="0.3">
      <c r="A418" s="43" t="s">
        <v>304</v>
      </c>
      <c r="B418" s="34" t="s">
        <v>55</v>
      </c>
      <c r="C418" s="41" t="s">
        <v>40</v>
      </c>
      <c r="D418" s="41" t="s">
        <v>10</v>
      </c>
      <c r="E418" s="41" t="s">
        <v>27</v>
      </c>
      <c r="F418" s="20">
        <f>F419+F429+F437</f>
        <v>102579471.58</v>
      </c>
      <c r="G418" s="20">
        <f t="shared" ref="G418:H418" si="272">G419+G429+G437</f>
        <v>123118141.55</v>
      </c>
      <c r="H418" s="20">
        <f t="shared" si="272"/>
        <v>13411964.59</v>
      </c>
      <c r="I418" s="20">
        <f t="shared" si="260"/>
        <v>109706176.95999999</v>
      </c>
      <c r="J418" s="20">
        <f t="shared" si="263"/>
        <v>13.07</v>
      </c>
      <c r="K418" s="20">
        <f t="shared" si="264"/>
        <v>10.89</v>
      </c>
      <c r="L418" s="20"/>
      <c r="M418" s="35"/>
      <c r="N418" s="35"/>
    </row>
    <row r="419" spans="1:14" s="9" customFormat="1" ht="46.8" x14ac:dyDescent="0.3">
      <c r="A419" s="43" t="s">
        <v>305</v>
      </c>
      <c r="B419" s="34" t="s">
        <v>55</v>
      </c>
      <c r="C419" s="34" t="s">
        <v>40</v>
      </c>
      <c r="D419" s="34" t="s">
        <v>11</v>
      </c>
      <c r="E419" s="34" t="s">
        <v>27</v>
      </c>
      <c r="F419" s="20">
        <f>F421+F426</f>
        <v>65899450</v>
      </c>
      <c r="G419" s="20">
        <f t="shared" ref="G419:H419" si="273">G421+G426</f>
        <v>68623889.5</v>
      </c>
      <c r="H419" s="20">
        <f t="shared" si="273"/>
        <v>11051761.939999999</v>
      </c>
      <c r="I419" s="20">
        <f t="shared" si="260"/>
        <v>57572127.560000002</v>
      </c>
      <c r="J419" s="20">
        <f t="shared" si="263"/>
        <v>16.77</v>
      </c>
      <c r="K419" s="20">
        <f t="shared" si="264"/>
        <v>16.100000000000001</v>
      </c>
      <c r="L419" s="20"/>
      <c r="M419" s="35"/>
      <c r="N419" s="35"/>
    </row>
    <row r="420" spans="1:14" s="9" customFormat="1" ht="62.4" x14ac:dyDescent="0.3">
      <c r="A420" s="43" t="s">
        <v>419</v>
      </c>
      <c r="B420" s="34" t="s">
        <v>55</v>
      </c>
      <c r="C420" s="34" t="s">
        <v>40</v>
      </c>
      <c r="D420" s="34" t="s">
        <v>306</v>
      </c>
      <c r="E420" s="34" t="s">
        <v>27</v>
      </c>
      <c r="F420" s="20">
        <f>F421+F426</f>
        <v>65899450</v>
      </c>
      <c r="G420" s="20">
        <f t="shared" ref="G420:H420" si="274">G421+G426</f>
        <v>68623889.5</v>
      </c>
      <c r="H420" s="20">
        <f t="shared" si="274"/>
        <v>11051761.939999999</v>
      </c>
      <c r="I420" s="20">
        <f t="shared" si="260"/>
        <v>57572127.560000002</v>
      </c>
      <c r="J420" s="20">
        <f t="shared" si="263"/>
        <v>16.77</v>
      </c>
      <c r="K420" s="20">
        <f t="shared" si="264"/>
        <v>16.100000000000001</v>
      </c>
      <c r="L420" s="20"/>
      <c r="M420" s="35"/>
      <c r="N420" s="35"/>
    </row>
    <row r="421" spans="1:14" s="9" customFormat="1" ht="46.8" x14ac:dyDescent="0.3">
      <c r="A421" s="30" t="s">
        <v>119</v>
      </c>
      <c r="B421" s="34" t="s">
        <v>55</v>
      </c>
      <c r="C421" s="34" t="s">
        <v>40</v>
      </c>
      <c r="D421" s="34" t="s">
        <v>12</v>
      </c>
      <c r="E421" s="34" t="s">
        <v>27</v>
      </c>
      <c r="F421" s="20">
        <f>F422+F423+F424+F425</f>
        <v>65675850</v>
      </c>
      <c r="G421" s="20">
        <f t="shared" ref="G421:H421" si="275">G422+G423+G424+G425</f>
        <v>68400289.5</v>
      </c>
      <c r="H421" s="20">
        <f t="shared" si="275"/>
        <v>11051761.939999999</v>
      </c>
      <c r="I421" s="20">
        <f t="shared" si="260"/>
        <v>57348527.560000002</v>
      </c>
      <c r="J421" s="20">
        <f t="shared" si="263"/>
        <v>16.829999999999998</v>
      </c>
      <c r="K421" s="20">
        <f t="shared" si="264"/>
        <v>16.16</v>
      </c>
      <c r="L421" s="20"/>
      <c r="M421" s="35"/>
      <c r="N421" s="35"/>
    </row>
    <row r="422" spans="1:14" s="9" customFormat="1" ht="15.6" x14ac:dyDescent="0.3">
      <c r="A422" s="33" t="s">
        <v>140</v>
      </c>
      <c r="B422" s="34" t="s">
        <v>55</v>
      </c>
      <c r="C422" s="34" t="s">
        <v>40</v>
      </c>
      <c r="D422" s="34" t="s">
        <v>12</v>
      </c>
      <c r="E422" s="34" t="s">
        <v>141</v>
      </c>
      <c r="F422" s="24">
        <f>53591790-4000000</f>
        <v>49591790</v>
      </c>
      <c r="G422" s="24">
        <f t="shared" ref="G422" si="276">53591790-4000000</f>
        <v>49591790</v>
      </c>
      <c r="H422" s="24">
        <v>8597727.9600000009</v>
      </c>
      <c r="I422" s="24">
        <f t="shared" si="260"/>
        <v>40994062.039999999</v>
      </c>
      <c r="J422" s="24">
        <f t="shared" si="263"/>
        <v>17.34</v>
      </c>
      <c r="K422" s="24">
        <f t="shared" si="264"/>
        <v>17.34</v>
      </c>
      <c r="L422" s="24"/>
      <c r="M422" s="35"/>
      <c r="N422" s="35"/>
    </row>
    <row r="423" spans="1:14" s="9" customFormat="1" ht="31.2" x14ac:dyDescent="0.3">
      <c r="A423" s="33" t="s">
        <v>125</v>
      </c>
      <c r="B423" s="34" t="s">
        <v>55</v>
      </c>
      <c r="C423" s="34" t="s">
        <v>40</v>
      </c>
      <c r="D423" s="34" t="s">
        <v>12</v>
      </c>
      <c r="E423" s="34" t="s">
        <v>126</v>
      </c>
      <c r="F423" s="24">
        <f>15124060</f>
        <v>15124060</v>
      </c>
      <c r="G423" s="24">
        <f t="shared" ref="G423" si="277">15124060+2724439.5</f>
        <v>17848499.5</v>
      </c>
      <c r="H423" s="24">
        <v>2054853.98</v>
      </c>
      <c r="I423" s="24">
        <f t="shared" si="260"/>
        <v>15793645.52</v>
      </c>
      <c r="J423" s="24">
        <f t="shared" si="263"/>
        <v>13.59</v>
      </c>
      <c r="K423" s="24">
        <f t="shared" si="264"/>
        <v>11.51</v>
      </c>
      <c r="L423" s="24"/>
      <c r="M423" s="35"/>
      <c r="N423" s="35"/>
    </row>
    <row r="424" spans="1:14" s="9" customFormat="1" ht="15.6" x14ac:dyDescent="0.3">
      <c r="A424" s="30" t="s">
        <v>188</v>
      </c>
      <c r="B424" s="34" t="s">
        <v>55</v>
      </c>
      <c r="C424" s="34" t="s">
        <v>40</v>
      </c>
      <c r="D424" s="34" t="s">
        <v>12</v>
      </c>
      <c r="E424" s="34" t="s">
        <v>189</v>
      </c>
      <c r="F424" s="24">
        <v>0</v>
      </c>
      <c r="G424" s="24">
        <v>0</v>
      </c>
      <c r="H424" s="24">
        <v>0</v>
      </c>
      <c r="I424" s="24">
        <f t="shared" si="260"/>
        <v>0</v>
      </c>
      <c r="J424" s="24" t="s">
        <v>668</v>
      </c>
      <c r="K424" s="24" t="s">
        <v>668</v>
      </c>
      <c r="L424" s="24"/>
      <c r="M424" s="35"/>
      <c r="N424" s="35"/>
    </row>
    <row r="425" spans="1:14" s="9" customFormat="1" ht="15.6" x14ac:dyDescent="0.3">
      <c r="A425" s="33" t="s">
        <v>129</v>
      </c>
      <c r="B425" s="34" t="s">
        <v>55</v>
      </c>
      <c r="C425" s="34" t="s">
        <v>40</v>
      </c>
      <c r="D425" s="34" t="s">
        <v>12</v>
      </c>
      <c r="E425" s="34" t="s">
        <v>142</v>
      </c>
      <c r="F425" s="24">
        <v>960000</v>
      </c>
      <c r="G425" s="24">
        <v>960000</v>
      </c>
      <c r="H425" s="24">
        <v>399180</v>
      </c>
      <c r="I425" s="24">
        <f t="shared" si="260"/>
        <v>560820</v>
      </c>
      <c r="J425" s="24">
        <f t="shared" si="263"/>
        <v>41.58</v>
      </c>
      <c r="K425" s="24">
        <f t="shared" si="264"/>
        <v>41.58</v>
      </c>
      <c r="L425" s="24"/>
      <c r="M425" s="35"/>
      <c r="N425" s="35"/>
    </row>
    <row r="426" spans="1:14" s="9" customFormat="1" ht="46.8" x14ac:dyDescent="0.3">
      <c r="A426" s="30" t="s">
        <v>124</v>
      </c>
      <c r="B426" s="34" t="s">
        <v>55</v>
      </c>
      <c r="C426" s="34" t="s">
        <v>40</v>
      </c>
      <c r="D426" s="34" t="s">
        <v>13</v>
      </c>
      <c r="E426" s="34" t="s">
        <v>27</v>
      </c>
      <c r="F426" s="24">
        <f>F428+F427</f>
        <v>223600</v>
      </c>
      <c r="G426" s="24">
        <f t="shared" ref="G426:H426" si="278">G428+G427</f>
        <v>223600</v>
      </c>
      <c r="H426" s="24">
        <f t="shared" si="278"/>
        <v>0</v>
      </c>
      <c r="I426" s="24">
        <f t="shared" si="260"/>
        <v>223600</v>
      </c>
      <c r="J426" s="24">
        <f t="shared" si="263"/>
        <v>0</v>
      </c>
      <c r="K426" s="24">
        <f t="shared" si="264"/>
        <v>0</v>
      </c>
      <c r="L426" s="24"/>
      <c r="M426" s="35"/>
      <c r="N426" s="35"/>
    </row>
    <row r="427" spans="1:14" s="9" customFormat="1" ht="46.8" x14ac:dyDescent="0.3">
      <c r="A427" s="33" t="s">
        <v>392</v>
      </c>
      <c r="B427" s="34" t="s">
        <v>55</v>
      </c>
      <c r="C427" s="34" t="s">
        <v>40</v>
      </c>
      <c r="D427" s="34" t="s">
        <v>13</v>
      </c>
      <c r="E427" s="34" t="s">
        <v>133</v>
      </c>
      <c r="F427" s="24">
        <v>0</v>
      </c>
      <c r="G427" s="24">
        <v>0</v>
      </c>
      <c r="H427" s="24">
        <v>0</v>
      </c>
      <c r="I427" s="24">
        <f t="shared" si="260"/>
        <v>0</v>
      </c>
      <c r="J427" s="24" t="s">
        <v>668</v>
      </c>
      <c r="K427" s="24" t="s">
        <v>668</v>
      </c>
      <c r="L427" s="24"/>
      <c r="M427" s="35"/>
      <c r="N427" s="35"/>
    </row>
    <row r="428" spans="1:14" s="9" customFormat="1" ht="31.2" x14ac:dyDescent="0.3">
      <c r="A428" s="33" t="s">
        <v>125</v>
      </c>
      <c r="B428" s="34" t="s">
        <v>55</v>
      </c>
      <c r="C428" s="34" t="s">
        <v>40</v>
      </c>
      <c r="D428" s="34" t="s">
        <v>13</v>
      </c>
      <c r="E428" s="34" t="s">
        <v>126</v>
      </c>
      <c r="F428" s="24">
        <v>223600</v>
      </c>
      <c r="G428" s="24">
        <v>223600</v>
      </c>
      <c r="H428" s="24">
        <v>0</v>
      </c>
      <c r="I428" s="24">
        <f t="shared" si="260"/>
        <v>223600</v>
      </c>
      <c r="J428" s="24">
        <f t="shared" si="263"/>
        <v>0</v>
      </c>
      <c r="K428" s="24">
        <f t="shared" si="264"/>
        <v>0</v>
      </c>
      <c r="L428" s="24"/>
      <c r="M428" s="35"/>
      <c r="N428" s="35"/>
    </row>
    <row r="429" spans="1:14" s="9" customFormat="1" ht="78" x14ac:dyDescent="0.3">
      <c r="A429" s="30" t="s">
        <v>405</v>
      </c>
      <c r="B429" s="34" t="s">
        <v>55</v>
      </c>
      <c r="C429" s="34" t="s">
        <v>40</v>
      </c>
      <c r="D429" s="34" t="s">
        <v>14</v>
      </c>
      <c r="E429" s="34" t="s">
        <v>27</v>
      </c>
      <c r="F429" s="22">
        <f>F431+F435</f>
        <v>15796960</v>
      </c>
      <c r="G429" s="22">
        <f t="shared" ref="G429:H429" si="279">G431+G435</f>
        <v>15921960</v>
      </c>
      <c r="H429" s="22">
        <f t="shared" si="279"/>
        <v>2360202.65</v>
      </c>
      <c r="I429" s="22">
        <f t="shared" si="260"/>
        <v>13561757.35</v>
      </c>
      <c r="J429" s="22">
        <f t="shared" si="263"/>
        <v>14.94</v>
      </c>
      <c r="K429" s="22">
        <f t="shared" si="264"/>
        <v>14.82</v>
      </c>
      <c r="L429" s="22"/>
      <c r="M429" s="35"/>
      <c r="N429" s="35"/>
    </row>
    <row r="430" spans="1:14" s="9" customFormat="1" ht="62.4" x14ac:dyDescent="0.3">
      <c r="A430" s="43" t="s">
        <v>419</v>
      </c>
      <c r="B430" s="34" t="s">
        <v>55</v>
      </c>
      <c r="C430" s="34" t="s">
        <v>40</v>
      </c>
      <c r="D430" s="34" t="s">
        <v>307</v>
      </c>
      <c r="E430" s="34" t="s">
        <v>27</v>
      </c>
      <c r="F430" s="20">
        <f>F431+F435</f>
        <v>15796960</v>
      </c>
      <c r="G430" s="20">
        <f t="shared" ref="G430:H430" si="280">G431+G435</f>
        <v>15921960</v>
      </c>
      <c r="H430" s="20">
        <f t="shared" si="280"/>
        <v>2360202.65</v>
      </c>
      <c r="I430" s="20">
        <f t="shared" si="260"/>
        <v>13561757.35</v>
      </c>
      <c r="J430" s="20">
        <f t="shared" si="263"/>
        <v>14.94</v>
      </c>
      <c r="K430" s="20">
        <f t="shared" si="264"/>
        <v>14.82</v>
      </c>
      <c r="L430" s="20"/>
      <c r="M430" s="35"/>
      <c r="N430" s="35"/>
    </row>
    <row r="431" spans="1:14" s="9" customFormat="1" ht="46.8" x14ac:dyDescent="0.3">
      <c r="A431" s="30" t="s">
        <v>119</v>
      </c>
      <c r="B431" s="34" t="s">
        <v>55</v>
      </c>
      <c r="C431" s="34" t="s">
        <v>40</v>
      </c>
      <c r="D431" s="41" t="s">
        <v>15</v>
      </c>
      <c r="E431" s="34" t="s">
        <v>27</v>
      </c>
      <c r="F431" s="20">
        <f>F432+F433+F434</f>
        <v>15718460</v>
      </c>
      <c r="G431" s="20">
        <f t="shared" ref="G431:H431" si="281">G432+G433+G434</f>
        <v>15843460</v>
      </c>
      <c r="H431" s="20">
        <f t="shared" si="281"/>
        <v>2360202.65</v>
      </c>
      <c r="I431" s="20">
        <f t="shared" si="260"/>
        <v>13483257.35</v>
      </c>
      <c r="J431" s="20">
        <f t="shared" si="263"/>
        <v>15.02</v>
      </c>
      <c r="K431" s="20">
        <f t="shared" si="264"/>
        <v>14.9</v>
      </c>
      <c r="L431" s="20"/>
      <c r="M431" s="35"/>
      <c r="N431" s="35"/>
    </row>
    <row r="432" spans="1:14" s="9" customFormat="1" ht="15.6" x14ac:dyDescent="0.3">
      <c r="A432" s="33" t="s">
        <v>140</v>
      </c>
      <c r="B432" s="34" t="s">
        <v>55</v>
      </c>
      <c r="C432" s="34" t="s">
        <v>40</v>
      </c>
      <c r="D432" s="34" t="s">
        <v>15</v>
      </c>
      <c r="E432" s="34" t="s">
        <v>141</v>
      </c>
      <c r="F432" s="24">
        <f>13419610-1500000</f>
        <v>11919610</v>
      </c>
      <c r="G432" s="24">
        <f t="shared" ref="G432" si="282">13419610-1500000</f>
        <v>11919610</v>
      </c>
      <c r="H432" s="24">
        <v>2284837.9300000002</v>
      </c>
      <c r="I432" s="24">
        <f t="shared" si="260"/>
        <v>9634772.0700000003</v>
      </c>
      <c r="J432" s="24">
        <f t="shared" si="263"/>
        <v>19.170000000000002</v>
      </c>
      <c r="K432" s="24">
        <f t="shared" si="264"/>
        <v>19.170000000000002</v>
      </c>
      <c r="L432" s="24"/>
      <c r="M432" s="35"/>
      <c r="N432" s="35"/>
    </row>
    <row r="433" spans="1:14" s="7" customFormat="1" ht="31.2" x14ac:dyDescent="0.25">
      <c r="A433" s="33" t="s">
        <v>125</v>
      </c>
      <c r="B433" s="34" t="s">
        <v>55</v>
      </c>
      <c r="C433" s="34" t="s">
        <v>40</v>
      </c>
      <c r="D433" s="34" t="s">
        <v>15</v>
      </c>
      <c r="E433" s="34" t="s">
        <v>126</v>
      </c>
      <c r="F433" s="24">
        <f>3798850</f>
        <v>3798850</v>
      </c>
      <c r="G433" s="24">
        <f t="shared" ref="G433" si="283">3798850+125000</f>
        <v>3923850</v>
      </c>
      <c r="H433" s="24">
        <v>75364.72</v>
      </c>
      <c r="I433" s="24">
        <f t="shared" si="260"/>
        <v>3848485.28</v>
      </c>
      <c r="J433" s="24">
        <f t="shared" si="263"/>
        <v>1.98</v>
      </c>
      <c r="K433" s="24">
        <f t="shared" si="264"/>
        <v>1.92</v>
      </c>
      <c r="L433" s="24"/>
      <c r="M433" s="35"/>
      <c r="N433" s="35"/>
    </row>
    <row r="434" spans="1:14" s="7" customFormat="1" ht="15.6" x14ac:dyDescent="0.25">
      <c r="A434" s="33" t="s">
        <v>129</v>
      </c>
      <c r="B434" s="34" t="s">
        <v>55</v>
      </c>
      <c r="C434" s="34" t="s">
        <v>40</v>
      </c>
      <c r="D434" s="34" t="s">
        <v>15</v>
      </c>
      <c r="E434" s="34" t="s">
        <v>142</v>
      </c>
      <c r="F434" s="24">
        <v>0</v>
      </c>
      <c r="G434" s="24">
        <v>0</v>
      </c>
      <c r="H434" s="24">
        <v>0</v>
      </c>
      <c r="I434" s="24">
        <f t="shared" si="260"/>
        <v>0</v>
      </c>
      <c r="J434" s="24" t="s">
        <v>668</v>
      </c>
      <c r="K434" s="24" t="s">
        <v>668</v>
      </c>
      <c r="L434" s="24"/>
      <c r="M434" s="35"/>
      <c r="N434" s="35"/>
    </row>
    <row r="435" spans="1:14" s="7" customFormat="1" ht="46.8" x14ac:dyDescent="0.25">
      <c r="A435" s="30" t="s">
        <v>124</v>
      </c>
      <c r="B435" s="34" t="s">
        <v>55</v>
      </c>
      <c r="C435" s="34" t="s">
        <v>40</v>
      </c>
      <c r="D435" s="34" t="s">
        <v>16</v>
      </c>
      <c r="E435" s="34" t="s">
        <v>27</v>
      </c>
      <c r="F435" s="24">
        <f>F436</f>
        <v>78500</v>
      </c>
      <c r="G435" s="24">
        <f t="shared" ref="G435:H435" si="284">G436</f>
        <v>78500</v>
      </c>
      <c r="H435" s="24">
        <f t="shared" si="284"/>
        <v>0</v>
      </c>
      <c r="I435" s="24">
        <f t="shared" si="260"/>
        <v>78500</v>
      </c>
      <c r="J435" s="24">
        <f t="shared" si="263"/>
        <v>0</v>
      </c>
      <c r="K435" s="24">
        <f t="shared" si="264"/>
        <v>0</v>
      </c>
      <c r="L435" s="24"/>
      <c r="M435" s="35"/>
      <c r="N435" s="35"/>
    </row>
    <row r="436" spans="1:14" s="7" customFormat="1" ht="31.2" x14ac:dyDescent="0.25">
      <c r="A436" s="33" t="s">
        <v>125</v>
      </c>
      <c r="B436" s="34" t="s">
        <v>55</v>
      </c>
      <c r="C436" s="34" t="s">
        <v>40</v>
      </c>
      <c r="D436" s="34" t="s">
        <v>16</v>
      </c>
      <c r="E436" s="34" t="s">
        <v>126</v>
      </c>
      <c r="F436" s="24">
        <v>78500</v>
      </c>
      <c r="G436" s="24">
        <v>78500</v>
      </c>
      <c r="H436" s="24">
        <v>0</v>
      </c>
      <c r="I436" s="24">
        <f t="shared" si="260"/>
        <v>78500</v>
      </c>
      <c r="J436" s="24">
        <f t="shared" si="263"/>
        <v>0</v>
      </c>
      <c r="K436" s="24">
        <f t="shared" si="264"/>
        <v>0</v>
      </c>
      <c r="L436" s="24"/>
      <c r="M436" s="35"/>
      <c r="N436" s="35"/>
    </row>
    <row r="437" spans="1:14" s="7" customFormat="1" ht="31.2" x14ac:dyDescent="0.25">
      <c r="A437" s="61" t="s">
        <v>309</v>
      </c>
      <c r="B437" s="34" t="s">
        <v>55</v>
      </c>
      <c r="C437" s="34" t="s">
        <v>40</v>
      </c>
      <c r="D437" s="34" t="s">
        <v>176</v>
      </c>
      <c r="E437" s="34" t="s">
        <v>27</v>
      </c>
      <c r="F437" s="20">
        <f>F438+F461</f>
        <v>20883061.579999998</v>
      </c>
      <c r="G437" s="20">
        <f t="shared" ref="G437:H437" si="285">G438+G461</f>
        <v>38572292.049999997</v>
      </c>
      <c r="H437" s="20">
        <f t="shared" si="285"/>
        <v>0</v>
      </c>
      <c r="I437" s="20">
        <f t="shared" si="260"/>
        <v>38572292.049999997</v>
      </c>
      <c r="J437" s="20">
        <f t="shared" si="263"/>
        <v>0</v>
      </c>
      <c r="K437" s="20">
        <f t="shared" si="264"/>
        <v>0</v>
      </c>
      <c r="L437" s="20"/>
      <c r="M437" s="35"/>
      <c r="N437" s="35"/>
    </row>
    <row r="438" spans="1:14" s="7" customFormat="1" ht="46.8" x14ac:dyDescent="0.25">
      <c r="A438" s="61" t="s">
        <v>310</v>
      </c>
      <c r="B438" s="34" t="s">
        <v>55</v>
      </c>
      <c r="C438" s="34" t="s">
        <v>40</v>
      </c>
      <c r="D438" s="34" t="s">
        <v>308</v>
      </c>
      <c r="E438" s="34" t="s">
        <v>27</v>
      </c>
      <c r="F438" s="20">
        <f>F441+F443+F457+F459+F445+F447+F449+F451+F455+F453+F439</f>
        <v>20883061.579999998</v>
      </c>
      <c r="G438" s="20">
        <f t="shared" ref="G438:H438" si="286">G441+G443+G457+G459+G445+G447+G449+G451+G455+G453+G439</f>
        <v>38572292.049999997</v>
      </c>
      <c r="H438" s="20">
        <f t="shared" si="286"/>
        <v>0</v>
      </c>
      <c r="I438" s="20">
        <f t="shared" si="260"/>
        <v>38572292.049999997</v>
      </c>
      <c r="J438" s="20">
        <f t="shared" si="263"/>
        <v>0</v>
      </c>
      <c r="K438" s="20">
        <f t="shared" si="264"/>
        <v>0</v>
      </c>
      <c r="L438" s="20"/>
      <c r="M438" s="35"/>
      <c r="N438" s="35"/>
    </row>
    <row r="439" spans="1:14" s="7" customFormat="1" ht="46.8" x14ac:dyDescent="0.25">
      <c r="A439" s="43" t="s">
        <v>636</v>
      </c>
      <c r="B439" s="34" t="s">
        <v>55</v>
      </c>
      <c r="C439" s="34" t="s">
        <v>40</v>
      </c>
      <c r="D439" s="37" t="s">
        <v>635</v>
      </c>
      <c r="E439" s="34" t="s">
        <v>27</v>
      </c>
      <c r="F439" s="20">
        <f>F440</f>
        <v>0</v>
      </c>
      <c r="G439" s="20">
        <f t="shared" ref="G439:H439" si="287">G440</f>
        <v>17691213.600000001</v>
      </c>
      <c r="H439" s="20">
        <f t="shared" si="287"/>
        <v>0</v>
      </c>
      <c r="I439" s="20">
        <f t="shared" si="260"/>
        <v>17691213.600000001</v>
      </c>
      <c r="J439" s="20" t="s">
        <v>668</v>
      </c>
      <c r="K439" s="20">
        <f t="shared" si="264"/>
        <v>0</v>
      </c>
      <c r="L439" s="20"/>
      <c r="M439" s="35"/>
      <c r="N439" s="35"/>
    </row>
    <row r="440" spans="1:14" s="7" customFormat="1" ht="15.6" x14ac:dyDescent="0.25">
      <c r="A440" s="33" t="s">
        <v>132</v>
      </c>
      <c r="B440" s="34" t="s">
        <v>55</v>
      </c>
      <c r="C440" s="34" t="s">
        <v>40</v>
      </c>
      <c r="D440" s="37" t="s">
        <v>635</v>
      </c>
      <c r="E440" s="34" t="s">
        <v>133</v>
      </c>
      <c r="F440" s="15">
        <v>0</v>
      </c>
      <c r="G440" s="15">
        <v>17691213.600000001</v>
      </c>
      <c r="H440" s="15">
        <v>0</v>
      </c>
      <c r="I440" s="15">
        <f t="shared" si="260"/>
        <v>17691213.600000001</v>
      </c>
      <c r="J440" s="15" t="s">
        <v>668</v>
      </c>
      <c r="K440" s="15">
        <f t="shared" si="264"/>
        <v>0</v>
      </c>
      <c r="L440" s="15"/>
      <c r="M440" s="35"/>
      <c r="N440" s="35"/>
    </row>
    <row r="441" spans="1:14" s="7" customFormat="1" ht="93.6" x14ac:dyDescent="0.25">
      <c r="A441" s="43" t="s">
        <v>231</v>
      </c>
      <c r="B441" s="34" t="s">
        <v>55</v>
      </c>
      <c r="C441" s="34" t="s">
        <v>40</v>
      </c>
      <c r="D441" s="37" t="s">
        <v>232</v>
      </c>
      <c r="E441" s="34" t="s">
        <v>27</v>
      </c>
      <c r="F441" s="20">
        <f>F442</f>
        <v>1610780.49</v>
      </c>
      <c r="G441" s="20">
        <f t="shared" ref="G441:H441" si="288">G442</f>
        <v>1620939.76</v>
      </c>
      <c r="H441" s="20">
        <f t="shared" si="288"/>
        <v>0</v>
      </c>
      <c r="I441" s="20">
        <f t="shared" si="260"/>
        <v>1620939.76</v>
      </c>
      <c r="J441" s="20">
        <f t="shared" si="263"/>
        <v>0</v>
      </c>
      <c r="K441" s="20">
        <f t="shared" si="264"/>
        <v>0</v>
      </c>
      <c r="L441" s="20"/>
      <c r="M441" s="35"/>
      <c r="N441" s="35"/>
    </row>
    <row r="442" spans="1:14" s="7" customFormat="1" ht="31.2" x14ac:dyDescent="0.25">
      <c r="A442" s="33" t="s">
        <v>125</v>
      </c>
      <c r="B442" s="34" t="s">
        <v>55</v>
      </c>
      <c r="C442" s="34" t="s">
        <v>40</v>
      </c>
      <c r="D442" s="37" t="s">
        <v>232</v>
      </c>
      <c r="E442" s="34" t="s">
        <v>126</v>
      </c>
      <c r="F442" s="15">
        <f>1610780.49</f>
        <v>1610780.49</v>
      </c>
      <c r="G442" s="15">
        <f t="shared" ref="G442" si="289">1610780.49+10159.27</f>
        <v>1620939.76</v>
      </c>
      <c r="H442" s="15">
        <v>0</v>
      </c>
      <c r="I442" s="15">
        <f t="shared" si="260"/>
        <v>1620939.76</v>
      </c>
      <c r="J442" s="15">
        <f t="shared" si="263"/>
        <v>0</v>
      </c>
      <c r="K442" s="15">
        <f t="shared" si="264"/>
        <v>0</v>
      </c>
      <c r="L442" s="15"/>
      <c r="M442" s="35"/>
      <c r="N442" s="35"/>
    </row>
    <row r="443" spans="1:14" s="7" customFormat="1" ht="93.6" x14ac:dyDescent="0.3">
      <c r="A443" s="66" t="s">
        <v>230</v>
      </c>
      <c r="B443" s="34" t="s">
        <v>55</v>
      </c>
      <c r="C443" s="34" t="s">
        <v>40</v>
      </c>
      <c r="D443" s="37" t="s">
        <v>232</v>
      </c>
      <c r="E443" s="34" t="s">
        <v>27</v>
      </c>
      <c r="F443" s="20">
        <f>F444</f>
        <v>84777.919999999998</v>
      </c>
      <c r="G443" s="20">
        <f t="shared" ref="G443:H443" si="290">G444</f>
        <v>85312.62</v>
      </c>
      <c r="H443" s="20">
        <f t="shared" si="290"/>
        <v>0</v>
      </c>
      <c r="I443" s="20">
        <f t="shared" si="260"/>
        <v>85312.62</v>
      </c>
      <c r="J443" s="20">
        <f t="shared" si="263"/>
        <v>0</v>
      </c>
      <c r="K443" s="20">
        <f t="shared" si="264"/>
        <v>0</v>
      </c>
      <c r="L443" s="20"/>
      <c r="M443" s="35"/>
      <c r="N443" s="35"/>
    </row>
    <row r="444" spans="1:14" s="7" customFormat="1" ht="31.2" x14ac:dyDescent="0.25">
      <c r="A444" s="33" t="s">
        <v>125</v>
      </c>
      <c r="B444" s="34" t="s">
        <v>55</v>
      </c>
      <c r="C444" s="34" t="s">
        <v>40</v>
      </c>
      <c r="D444" s="37" t="s">
        <v>232</v>
      </c>
      <c r="E444" s="34" t="s">
        <v>126</v>
      </c>
      <c r="F444" s="20">
        <f>84777.92</f>
        <v>84777.919999999998</v>
      </c>
      <c r="G444" s="20">
        <f t="shared" ref="G444" si="291">84777.92+534.7</f>
        <v>85312.62</v>
      </c>
      <c r="H444" s="20">
        <v>0</v>
      </c>
      <c r="I444" s="20">
        <f t="shared" si="260"/>
        <v>85312.62</v>
      </c>
      <c r="J444" s="20">
        <f t="shared" si="263"/>
        <v>0</v>
      </c>
      <c r="K444" s="20">
        <f t="shared" si="264"/>
        <v>0</v>
      </c>
      <c r="L444" s="20"/>
      <c r="M444" s="35"/>
      <c r="N444" s="35"/>
    </row>
    <row r="445" spans="1:14" s="7" customFormat="1" ht="62.4" x14ac:dyDescent="0.25">
      <c r="A445" s="43" t="s">
        <v>491</v>
      </c>
      <c r="B445" s="34" t="s">
        <v>55</v>
      </c>
      <c r="C445" s="34" t="s">
        <v>40</v>
      </c>
      <c r="D445" s="37" t="s">
        <v>490</v>
      </c>
      <c r="E445" s="34" t="s">
        <v>27</v>
      </c>
      <c r="F445" s="20">
        <f>F446</f>
        <v>999589.32</v>
      </c>
      <c r="G445" s="20">
        <f t="shared" ref="G445:H445" si="292">G446</f>
        <v>987546.07</v>
      </c>
      <c r="H445" s="20">
        <f t="shared" si="292"/>
        <v>0</v>
      </c>
      <c r="I445" s="20">
        <f t="shared" si="260"/>
        <v>987546.07</v>
      </c>
      <c r="J445" s="20">
        <f t="shared" si="263"/>
        <v>0</v>
      </c>
      <c r="K445" s="20">
        <f t="shared" si="264"/>
        <v>0</v>
      </c>
      <c r="L445" s="20"/>
      <c r="M445" s="35"/>
      <c r="N445" s="35"/>
    </row>
    <row r="446" spans="1:14" s="7" customFormat="1" ht="31.2" x14ac:dyDescent="0.25">
      <c r="A446" s="33" t="s">
        <v>125</v>
      </c>
      <c r="B446" s="34" t="s">
        <v>55</v>
      </c>
      <c r="C446" s="34" t="s">
        <v>40</v>
      </c>
      <c r="D446" s="37" t="s">
        <v>490</v>
      </c>
      <c r="E446" s="34" t="s">
        <v>126</v>
      </c>
      <c r="F446" s="15">
        <f>999589.32</f>
        <v>999589.32</v>
      </c>
      <c r="G446" s="15">
        <f t="shared" ref="G446" si="293">999589.32-12043.25</f>
        <v>987546.07</v>
      </c>
      <c r="H446" s="15">
        <v>0</v>
      </c>
      <c r="I446" s="15">
        <f t="shared" si="260"/>
        <v>987546.07</v>
      </c>
      <c r="J446" s="15">
        <f t="shared" si="263"/>
        <v>0</v>
      </c>
      <c r="K446" s="15">
        <f t="shared" si="264"/>
        <v>0</v>
      </c>
      <c r="L446" s="15"/>
      <c r="M446" s="35"/>
      <c r="N446" s="35"/>
    </row>
    <row r="447" spans="1:14" s="7" customFormat="1" ht="78" x14ac:dyDescent="0.3">
      <c r="A447" s="66" t="s">
        <v>492</v>
      </c>
      <c r="B447" s="34" t="s">
        <v>55</v>
      </c>
      <c r="C447" s="34" t="s">
        <v>40</v>
      </c>
      <c r="D447" s="37" t="s">
        <v>490</v>
      </c>
      <c r="E447" s="34" t="s">
        <v>27</v>
      </c>
      <c r="F447" s="20">
        <f>F448</f>
        <v>52609.96</v>
      </c>
      <c r="G447" s="20">
        <f t="shared" ref="G447:H447" si="294">G448</f>
        <v>51976.11</v>
      </c>
      <c r="H447" s="20">
        <f t="shared" si="294"/>
        <v>0</v>
      </c>
      <c r="I447" s="20">
        <f t="shared" si="260"/>
        <v>51976.11</v>
      </c>
      <c r="J447" s="20">
        <f t="shared" si="263"/>
        <v>0</v>
      </c>
      <c r="K447" s="20">
        <f t="shared" si="264"/>
        <v>0</v>
      </c>
      <c r="L447" s="20"/>
      <c r="M447" s="35"/>
      <c r="N447" s="35"/>
    </row>
    <row r="448" spans="1:14" s="7" customFormat="1" ht="31.2" x14ac:dyDescent="0.25">
      <c r="A448" s="33" t="s">
        <v>125</v>
      </c>
      <c r="B448" s="34" t="s">
        <v>55</v>
      </c>
      <c r="C448" s="34" t="s">
        <v>40</v>
      </c>
      <c r="D448" s="37" t="s">
        <v>490</v>
      </c>
      <c r="E448" s="34" t="s">
        <v>126</v>
      </c>
      <c r="F448" s="20">
        <f>52609.96</f>
        <v>52609.96</v>
      </c>
      <c r="G448" s="20">
        <f t="shared" ref="G448" si="295">52609.96-633.85</f>
        <v>51976.11</v>
      </c>
      <c r="H448" s="20">
        <v>0</v>
      </c>
      <c r="I448" s="20">
        <f t="shared" si="260"/>
        <v>51976.11</v>
      </c>
      <c r="J448" s="20">
        <f t="shared" si="263"/>
        <v>0</v>
      </c>
      <c r="K448" s="20">
        <f t="shared" si="264"/>
        <v>0</v>
      </c>
      <c r="L448" s="20"/>
      <c r="M448" s="35"/>
      <c r="N448" s="35"/>
    </row>
    <row r="449" spans="1:14" s="7" customFormat="1" ht="62.4" x14ac:dyDescent="0.25">
      <c r="A449" s="43" t="s">
        <v>484</v>
      </c>
      <c r="B449" s="34" t="s">
        <v>55</v>
      </c>
      <c r="C449" s="34" t="s">
        <v>40</v>
      </c>
      <c r="D449" s="37" t="s">
        <v>486</v>
      </c>
      <c r="E449" s="34" t="s">
        <v>27</v>
      </c>
      <c r="F449" s="24">
        <f>F450</f>
        <v>7060533.6900000004</v>
      </c>
      <c r="G449" s="24">
        <f t="shared" ref="G449:H449" si="296">G450</f>
        <v>7060533.6900000004</v>
      </c>
      <c r="H449" s="24">
        <f t="shared" si="296"/>
        <v>0</v>
      </c>
      <c r="I449" s="24">
        <f t="shared" si="260"/>
        <v>7060533.6900000004</v>
      </c>
      <c r="J449" s="24">
        <f t="shared" si="263"/>
        <v>0</v>
      </c>
      <c r="K449" s="24">
        <f t="shared" si="264"/>
        <v>0</v>
      </c>
      <c r="L449" s="24"/>
      <c r="M449" s="35"/>
      <c r="N449" s="35"/>
    </row>
    <row r="450" spans="1:14" s="7" customFormat="1" ht="31.2" x14ac:dyDescent="0.25">
      <c r="A450" s="33" t="s">
        <v>125</v>
      </c>
      <c r="B450" s="34" t="s">
        <v>55</v>
      </c>
      <c r="C450" s="34" t="s">
        <v>40</v>
      </c>
      <c r="D450" s="37" t="s">
        <v>486</v>
      </c>
      <c r="E450" s="34" t="s">
        <v>126</v>
      </c>
      <c r="F450" s="24">
        <v>7060533.6900000004</v>
      </c>
      <c r="G450" s="24">
        <v>7060533.6900000004</v>
      </c>
      <c r="H450" s="24">
        <v>0</v>
      </c>
      <c r="I450" s="24">
        <f t="shared" si="260"/>
        <v>7060533.6900000004</v>
      </c>
      <c r="J450" s="24">
        <f t="shared" si="263"/>
        <v>0</v>
      </c>
      <c r="K450" s="24">
        <f t="shared" si="264"/>
        <v>0</v>
      </c>
      <c r="L450" s="24"/>
      <c r="M450" s="35"/>
      <c r="N450" s="35"/>
    </row>
    <row r="451" spans="1:14" s="7" customFormat="1" ht="78" x14ac:dyDescent="0.25">
      <c r="A451" s="43" t="s">
        <v>485</v>
      </c>
      <c r="B451" s="34" t="s">
        <v>55</v>
      </c>
      <c r="C451" s="34" t="s">
        <v>40</v>
      </c>
      <c r="D451" s="37" t="s">
        <v>486</v>
      </c>
      <c r="E451" s="34" t="s">
        <v>27</v>
      </c>
      <c r="F451" s="24">
        <f>F452</f>
        <v>371607.03999999998</v>
      </c>
      <c r="G451" s="24">
        <f t="shared" ref="G451:H451" si="297">G452</f>
        <v>371607.03999999998</v>
      </c>
      <c r="H451" s="24">
        <f t="shared" si="297"/>
        <v>0</v>
      </c>
      <c r="I451" s="24">
        <f t="shared" si="260"/>
        <v>371607.03999999998</v>
      </c>
      <c r="J451" s="24">
        <f t="shared" si="263"/>
        <v>0</v>
      </c>
      <c r="K451" s="24">
        <f t="shared" si="264"/>
        <v>0</v>
      </c>
      <c r="L451" s="24"/>
      <c r="M451" s="35"/>
      <c r="N451" s="35"/>
    </row>
    <row r="452" spans="1:14" s="7" customFormat="1" ht="31.2" x14ac:dyDescent="0.25">
      <c r="A452" s="33" t="s">
        <v>125</v>
      </c>
      <c r="B452" s="34" t="s">
        <v>55</v>
      </c>
      <c r="C452" s="34" t="s">
        <v>40</v>
      </c>
      <c r="D452" s="37" t="s">
        <v>486</v>
      </c>
      <c r="E452" s="34" t="s">
        <v>126</v>
      </c>
      <c r="F452" s="24">
        <v>371607.03999999998</v>
      </c>
      <c r="G452" s="24">
        <v>371607.03999999998</v>
      </c>
      <c r="H452" s="24">
        <v>0</v>
      </c>
      <c r="I452" s="24">
        <f t="shared" si="260"/>
        <v>371607.03999999998</v>
      </c>
      <c r="J452" s="24">
        <f t="shared" si="263"/>
        <v>0</v>
      </c>
      <c r="K452" s="24">
        <f t="shared" si="264"/>
        <v>0</v>
      </c>
      <c r="L452" s="24"/>
      <c r="M452" s="35"/>
      <c r="N452" s="35"/>
    </row>
    <row r="453" spans="1:14" s="7" customFormat="1" ht="46.8" x14ac:dyDescent="0.25">
      <c r="A453" s="43" t="s">
        <v>487</v>
      </c>
      <c r="B453" s="34" t="s">
        <v>55</v>
      </c>
      <c r="C453" s="34" t="s">
        <v>40</v>
      </c>
      <c r="D453" s="37" t="s">
        <v>489</v>
      </c>
      <c r="E453" s="34" t="s">
        <v>27</v>
      </c>
      <c r="F453" s="24">
        <f>F454</f>
        <v>10000000</v>
      </c>
      <c r="G453" s="24">
        <f t="shared" ref="G453:H453" si="298">G454</f>
        <v>10000000</v>
      </c>
      <c r="H453" s="24">
        <f t="shared" si="298"/>
        <v>0</v>
      </c>
      <c r="I453" s="24">
        <f t="shared" si="260"/>
        <v>10000000</v>
      </c>
      <c r="J453" s="24">
        <f t="shared" si="263"/>
        <v>0</v>
      </c>
      <c r="K453" s="24">
        <f t="shared" si="264"/>
        <v>0</v>
      </c>
      <c r="L453" s="24"/>
      <c r="M453" s="35"/>
      <c r="N453" s="35"/>
    </row>
    <row r="454" spans="1:14" s="7" customFormat="1" ht="31.2" x14ac:dyDescent="0.25">
      <c r="A454" s="33" t="s">
        <v>125</v>
      </c>
      <c r="B454" s="34" t="s">
        <v>55</v>
      </c>
      <c r="C454" s="34" t="s">
        <v>40</v>
      </c>
      <c r="D454" s="37" t="s">
        <v>489</v>
      </c>
      <c r="E454" s="34" t="s">
        <v>126</v>
      </c>
      <c r="F454" s="24">
        <v>10000000</v>
      </c>
      <c r="G454" s="24">
        <v>10000000</v>
      </c>
      <c r="H454" s="24">
        <v>0</v>
      </c>
      <c r="I454" s="24">
        <f t="shared" si="260"/>
        <v>10000000</v>
      </c>
      <c r="J454" s="24">
        <f t="shared" si="263"/>
        <v>0</v>
      </c>
      <c r="K454" s="24">
        <f t="shared" si="264"/>
        <v>0</v>
      </c>
      <c r="L454" s="24"/>
      <c r="M454" s="35"/>
      <c r="N454" s="35"/>
    </row>
    <row r="455" spans="1:14" s="7" customFormat="1" ht="62.4" x14ac:dyDescent="0.25">
      <c r="A455" s="43" t="s">
        <v>488</v>
      </c>
      <c r="B455" s="34" t="s">
        <v>55</v>
      </c>
      <c r="C455" s="34" t="s">
        <v>40</v>
      </c>
      <c r="D455" s="37" t="s">
        <v>489</v>
      </c>
      <c r="E455" s="34" t="s">
        <v>27</v>
      </c>
      <c r="F455" s="24">
        <f>F456</f>
        <v>526315.79</v>
      </c>
      <c r="G455" s="24">
        <f t="shared" ref="G455:H455" si="299">G456</f>
        <v>526315.79</v>
      </c>
      <c r="H455" s="24">
        <f t="shared" si="299"/>
        <v>0</v>
      </c>
      <c r="I455" s="24">
        <f t="shared" si="260"/>
        <v>526315.79</v>
      </c>
      <c r="J455" s="24">
        <f t="shared" si="263"/>
        <v>0</v>
      </c>
      <c r="K455" s="24">
        <f t="shared" si="264"/>
        <v>0</v>
      </c>
      <c r="L455" s="24"/>
      <c r="M455" s="35"/>
      <c r="N455" s="35"/>
    </row>
    <row r="456" spans="1:14" s="7" customFormat="1" ht="31.2" x14ac:dyDescent="0.25">
      <c r="A456" s="33" t="s">
        <v>125</v>
      </c>
      <c r="B456" s="34" t="s">
        <v>55</v>
      </c>
      <c r="C456" s="34" t="s">
        <v>40</v>
      </c>
      <c r="D456" s="37" t="s">
        <v>489</v>
      </c>
      <c r="E456" s="34" t="s">
        <v>126</v>
      </c>
      <c r="F456" s="24">
        <v>526315.79</v>
      </c>
      <c r="G456" s="24">
        <v>526315.79</v>
      </c>
      <c r="H456" s="24">
        <v>0</v>
      </c>
      <c r="I456" s="24">
        <f t="shared" si="260"/>
        <v>526315.79</v>
      </c>
      <c r="J456" s="24">
        <f t="shared" si="263"/>
        <v>0</v>
      </c>
      <c r="K456" s="24">
        <f t="shared" si="264"/>
        <v>0</v>
      </c>
      <c r="L456" s="24"/>
      <c r="M456" s="35"/>
      <c r="N456" s="35"/>
    </row>
    <row r="457" spans="1:14" s="7" customFormat="1" ht="78" x14ac:dyDescent="0.25">
      <c r="A457" s="43" t="s">
        <v>193</v>
      </c>
      <c r="B457" s="34" t="s">
        <v>55</v>
      </c>
      <c r="C457" s="34" t="s">
        <v>40</v>
      </c>
      <c r="D457" s="37" t="s">
        <v>203</v>
      </c>
      <c r="E457" s="34" t="s">
        <v>27</v>
      </c>
      <c r="F457" s="24">
        <f>F458</f>
        <v>168005</v>
      </c>
      <c r="G457" s="24">
        <f t="shared" ref="G457:H457" si="300">G458</f>
        <v>168005</v>
      </c>
      <c r="H457" s="24">
        <f t="shared" si="300"/>
        <v>0</v>
      </c>
      <c r="I457" s="24">
        <f t="shared" si="260"/>
        <v>168005</v>
      </c>
      <c r="J457" s="24">
        <f t="shared" si="263"/>
        <v>0</v>
      </c>
      <c r="K457" s="24">
        <f t="shared" si="264"/>
        <v>0</v>
      </c>
      <c r="L457" s="24"/>
      <c r="M457" s="35"/>
      <c r="N457" s="35"/>
    </row>
    <row r="458" spans="1:14" s="7" customFormat="1" ht="31.2" x14ac:dyDescent="0.25">
      <c r="A458" s="33" t="s">
        <v>125</v>
      </c>
      <c r="B458" s="34" t="s">
        <v>55</v>
      </c>
      <c r="C458" s="34" t="s">
        <v>40</v>
      </c>
      <c r="D458" s="37" t="s">
        <v>203</v>
      </c>
      <c r="E458" s="34" t="s">
        <v>126</v>
      </c>
      <c r="F458" s="24">
        <v>168005</v>
      </c>
      <c r="G458" s="24">
        <v>168005</v>
      </c>
      <c r="H458" s="24">
        <v>0</v>
      </c>
      <c r="I458" s="24">
        <f t="shared" si="260"/>
        <v>168005</v>
      </c>
      <c r="J458" s="24">
        <f t="shared" si="263"/>
        <v>0</v>
      </c>
      <c r="K458" s="24">
        <f t="shared" si="264"/>
        <v>0</v>
      </c>
      <c r="L458" s="24"/>
      <c r="M458" s="35"/>
      <c r="N458" s="35"/>
    </row>
    <row r="459" spans="1:14" s="7" customFormat="1" ht="78" x14ac:dyDescent="0.25">
      <c r="A459" s="43" t="s">
        <v>202</v>
      </c>
      <c r="B459" s="34" t="s">
        <v>55</v>
      </c>
      <c r="C459" s="34" t="s">
        <v>40</v>
      </c>
      <c r="D459" s="37" t="s">
        <v>203</v>
      </c>
      <c r="E459" s="34" t="s">
        <v>27</v>
      </c>
      <c r="F459" s="24">
        <f>F460</f>
        <v>8842.3700000000008</v>
      </c>
      <c r="G459" s="24">
        <f t="shared" ref="G459:H459" si="301">G460</f>
        <v>8842.3700000000008</v>
      </c>
      <c r="H459" s="24">
        <f t="shared" si="301"/>
        <v>0</v>
      </c>
      <c r="I459" s="24">
        <f t="shared" si="260"/>
        <v>8842.3700000000008</v>
      </c>
      <c r="J459" s="24">
        <f t="shared" si="263"/>
        <v>0</v>
      </c>
      <c r="K459" s="24">
        <f t="shared" si="264"/>
        <v>0</v>
      </c>
      <c r="L459" s="24"/>
      <c r="M459" s="35"/>
      <c r="N459" s="35"/>
    </row>
    <row r="460" spans="1:14" s="7" customFormat="1" ht="31.2" x14ac:dyDescent="0.25">
      <c r="A460" s="33" t="s">
        <v>125</v>
      </c>
      <c r="B460" s="34" t="s">
        <v>55</v>
      </c>
      <c r="C460" s="34" t="s">
        <v>40</v>
      </c>
      <c r="D460" s="37" t="s">
        <v>203</v>
      </c>
      <c r="E460" s="34" t="s">
        <v>126</v>
      </c>
      <c r="F460" s="24">
        <v>8842.3700000000008</v>
      </c>
      <c r="G460" s="24">
        <v>8842.3700000000008</v>
      </c>
      <c r="H460" s="24">
        <v>0</v>
      </c>
      <c r="I460" s="24">
        <f t="shared" si="260"/>
        <v>8842.3700000000008</v>
      </c>
      <c r="J460" s="24">
        <f t="shared" si="263"/>
        <v>0</v>
      </c>
      <c r="K460" s="24">
        <f t="shared" si="264"/>
        <v>0</v>
      </c>
      <c r="L460" s="24"/>
      <c r="M460" s="35"/>
      <c r="N460" s="35"/>
    </row>
    <row r="461" spans="1:14" s="7" customFormat="1" ht="15.6" x14ac:dyDescent="0.3">
      <c r="A461" s="66" t="s">
        <v>456</v>
      </c>
      <c r="B461" s="47" t="s">
        <v>55</v>
      </c>
      <c r="C461" s="44" t="s">
        <v>40</v>
      </c>
      <c r="D461" s="44" t="s">
        <v>454</v>
      </c>
      <c r="E461" s="44" t="s">
        <v>27</v>
      </c>
      <c r="F461" s="24">
        <f>F462+F464</f>
        <v>0</v>
      </c>
      <c r="G461" s="24">
        <f t="shared" ref="G461:H461" si="302">G462+G464</f>
        <v>0</v>
      </c>
      <c r="H461" s="24">
        <f t="shared" si="302"/>
        <v>0</v>
      </c>
      <c r="I461" s="24">
        <f t="shared" si="260"/>
        <v>0</v>
      </c>
      <c r="J461" s="24" t="s">
        <v>668</v>
      </c>
      <c r="K461" s="24" t="s">
        <v>668</v>
      </c>
      <c r="L461" s="24"/>
      <c r="M461" s="35"/>
      <c r="N461" s="35"/>
    </row>
    <row r="462" spans="1:14" s="7" customFormat="1" ht="31.2" x14ac:dyDescent="0.25">
      <c r="A462" s="33" t="s">
        <v>457</v>
      </c>
      <c r="B462" s="34" t="s">
        <v>55</v>
      </c>
      <c r="C462" s="34" t="s">
        <v>40</v>
      </c>
      <c r="D462" s="37" t="s">
        <v>455</v>
      </c>
      <c r="E462" s="34" t="s">
        <v>27</v>
      </c>
      <c r="F462" s="24">
        <f>F463</f>
        <v>0</v>
      </c>
      <c r="G462" s="24">
        <f t="shared" ref="G462:H462" si="303">G463</f>
        <v>0</v>
      </c>
      <c r="H462" s="24">
        <f t="shared" si="303"/>
        <v>0</v>
      </c>
      <c r="I462" s="24">
        <f t="shared" ref="I462:I525" si="304">$G462-$H462</f>
        <v>0</v>
      </c>
      <c r="J462" s="24" t="s">
        <v>668</v>
      </c>
      <c r="K462" s="24" t="s">
        <v>668</v>
      </c>
      <c r="L462" s="24"/>
      <c r="M462" s="35"/>
      <c r="N462" s="35"/>
    </row>
    <row r="463" spans="1:14" s="7" customFormat="1" ht="31.2" x14ac:dyDescent="0.25">
      <c r="A463" s="33" t="s">
        <v>125</v>
      </c>
      <c r="B463" s="34" t="s">
        <v>55</v>
      </c>
      <c r="C463" s="34" t="s">
        <v>40</v>
      </c>
      <c r="D463" s="37" t="s">
        <v>455</v>
      </c>
      <c r="E463" s="34" t="s">
        <v>126</v>
      </c>
      <c r="F463" s="24">
        <v>0</v>
      </c>
      <c r="G463" s="24">
        <v>0</v>
      </c>
      <c r="H463" s="24">
        <v>0</v>
      </c>
      <c r="I463" s="24">
        <f t="shared" si="304"/>
        <v>0</v>
      </c>
      <c r="J463" s="24" t="s">
        <v>668</v>
      </c>
      <c r="K463" s="24" t="s">
        <v>668</v>
      </c>
      <c r="L463" s="24"/>
      <c r="M463" s="35"/>
      <c r="N463" s="35"/>
    </row>
    <row r="464" spans="1:14" s="7" customFormat="1" ht="31.2" x14ac:dyDescent="0.25">
      <c r="A464" s="33" t="s">
        <v>458</v>
      </c>
      <c r="B464" s="34" t="s">
        <v>55</v>
      </c>
      <c r="C464" s="34" t="s">
        <v>40</v>
      </c>
      <c r="D464" s="37" t="s">
        <v>455</v>
      </c>
      <c r="E464" s="34" t="s">
        <v>27</v>
      </c>
      <c r="F464" s="24">
        <f>F465</f>
        <v>0</v>
      </c>
      <c r="G464" s="24">
        <f t="shared" ref="G464:H464" si="305">G465</f>
        <v>0</v>
      </c>
      <c r="H464" s="24">
        <f t="shared" si="305"/>
        <v>0</v>
      </c>
      <c r="I464" s="24">
        <f t="shared" si="304"/>
        <v>0</v>
      </c>
      <c r="J464" s="24" t="s">
        <v>668</v>
      </c>
      <c r="K464" s="24" t="s">
        <v>668</v>
      </c>
      <c r="L464" s="24"/>
      <c r="M464" s="35"/>
      <c r="N464" s="35"/>
    </row>
    <row r="465" spans="1:14" s="7" customFormat="1" ht="31.2" x14ac:dyDescent="0.25">
      <c r="A465" s="43" t="s">
        <v>125</v>
      </c>
      <c r="B465" s="34" t="s">
        <v>55</v>
      </c>
      <c r="C465" s="34" t="s">
        <v>40</v>
      </c>
      <c r="D465" s="37" t="s">
        <v>455</v>
      </c>
      <c r="E465" s="34" t="s">
        <v>126</v>
      </c>
      <c r="F465" s="24">
        <v>0</v>
      </c>
      <c r="G465" s="24">
        <v>0</v>
      </c>
      <c r="H465" s="24">
        <v>0</v>
      </c>
      <c r="I465" s="24">
        <f t="shared" si="304"/>
        <v>0</v>
      </c>
      <c r="J465" s="24" t="s">
        <v>668</v>
      </c>
      <c r="K465" s="24" t="s">
        <v>668</v>
      </c>
      <c r="L465" s="24"/>
      <c r="M465" s="35"/>
      <c r="N465" s="35"/>
    </row>
    <row r="466" spans="1:14" s="7" customFormat="1" ht="31.2" x14ac:dyDescent="0.25">
      <c r="A466" s="43" t="s">
        <v>147</v>
      </c>
      <c r="B466" s="34" t="s">
        <v>55</v>
      </c>
      <c r="C466" s="34" t="s">
        <v>75</v>
      </c>
      <c r="D466" s="34" t="s">
        <v>154</v>
      </c>
      <c r="E466" s="34" t="s">
        <v>27</v>
      </c>
      <c r="F466" s="20">
        <f>F467+F476</f>
        <v>13773020</v>
      </c>
      <c r="G466" s="20">
        <f t="shared" ref="G466:H466" si="306">G467+G476</f>
        <v>16955590</v>
      </c>
      <c r="H466" s="20">
        <f t="shared" si="306"/>
        <v>2956405.54</v>
      </c>
      <c r="I466" s="20">
        <f t="shared" si="304"/>
        <v>13999184.460000001</v>
      </c>
      <c r="J466" s="20">
        <f t="shared" ref="J466:J524" si="307">$H466/$F466*100</f>
        <v>21.47</v>
      </c>
      <c r="K466" s="20">
        <f t="shared" ref="K466:K525" si="308">$H466/$G466*100</f>
        <v>17.440000000000001</v>
      </c>
      <c r="L466" s="20"/>
      <c r="M466" s="35"/>
      <c r="N466" s="35"/>
    </row>
    <row r="467" spans="1:14" s="7" customFormat="1" ht="46.8" x14ac:dyDescent="0.25">
      <c r="A467" s="43" t="s">
        <v>304</v>
      </c>
      <c r="B467" s="34" t="s">
        <v>55</v>
      </c>
      <c r="C467" s="34" t="s">
        <v>75</v>
      </c>
      <c r="D467" s="34" t="s">
        <v>10</v>
      </c>
      <c r="E467" s="34" t="s">
        <v>27</v>
      </c>
      <c r="F467" s="20">
        <f t="shared" ref="F467:H467" si="309">F468</f>
        <v>13773020</v>
      </c>
      <c r="G467" s="20">
        <f t="shared" si="309"/>
        <v>13773020</v>
      </c>
      <c r="H467" s="20">
        <f t="shared" si="309"/>
        <v>2956405.54</v>
      </c>
      <c r="I467" s="20">
        <f t="shared" si="304"/>
        <v>10816614.460000001</v>
      </c>
      <c r="J467" s="20">
        <f t="shared" si="307"/>
        <v>21.47</v>
      </c>
      <c r="K467" s="20">
        <f t="shared" si="308"/>
        <v>21.47</v>
      </c>
      <c r="L467" s="20"/>
      <c r="M467" s="35"/>
      <c r="N467" s="35"/>
    </row>
    <row r="468" spans="1:14" s="7" customFormat="1" ht="62.4" x14ac:dyDescent="0.25">
      <c r="A468" s="30" t="s">
        <v>311</v>
      </c>
      <c r="B468" s="34" t="s">
        <v>55</v>
      </c>
      <c r="C468" s="41" t="s">
        <v>75</v>
      </c>
      <c r="D468" s="41" t="s">
        <v>17</v>
      </c>
      <c r="E468" s="41" t="s">
        <v>27</v>
      </c>
      <c r="F468" s="20">
        <f>F470+F474</f>
        <v>13773020</v>
      </c>
      <c r="G468" s="20">
        <f t="shared" ref="G468:H468" si="310">G470+G474</f>
        <v>13773020</v>
      </c>
      <c r="H468" s="20">
        <f t="shared" si="310"/>
        <v>2956405.54</v>
      </c>
      <c r="I468" s="20">
        <f t="shared" si="304"/>
        <v>10816614.460000001</v>
      </c>
      <c r="J468" s="20">
        <f t="shared" si="307"/>
        <v>21.47</v>
      </c>
      <c r="K468" s="20">
        <f t="shared" si="308"/>
        <v>21.47</v>
      </c>
      <c r="L468" s="20"/>
      <c r="M468" s="35"/>
      <c r="N468" s="35"/>
    </row>
    <row r="469" spans="1:14" s="7" customFormat="1" ht="62.4" x14ac:dyDescent="0.25">
      <c r="A469" s="30" t="s">
        <v>419</v>
      </c>
      <c r="B469" s="34" t="s">
        <v>55</v>
      </c>
      <c r="C469" s="41" t="s">
        <v>75</v>
      </c>
      <c r="D469" s="41" t="s">
        <v>418</v>
      </c>
      <c r="E469" s="41" t="s">
        <v>27</v>
      </c>
      <c r="F469" s="20">
        <f>F470+F471+F472</f>
        <v>27546040</v>
      </c>
      <c r="G469" s="20">
        <f t="shared" ref="G469:H469" si="311">G470+G471+G472</f>
        <v>27546040</v>
      </c>
      <c r="H469" s="20">
        <f t="shared" si="311"/>
        <v>5912811.0800000001</v>
      </c>
      <c r="I469" s="20">
        <f t="shared" si="304"/>
        <v>21633228.920000002</v>
      </c>
      <c r="J469" s="20">
        <f t="shared" si="307"/>
        <v>21.47</v>
      </c>
      <c r="K469" s="20">
        <f t="shared" si="308"/>
        <v>21.47</v>
      </c>
      <c r="L469" s="20"/>
      <c r="M469" s="35"/>
      <c r="N469" s="35"/>
    </row>
    <row r="470" spans="1:14" s="7" customFormat="1" ht="46.8" x14ac:dyDescent="0.25">
      <c r="A470" s="30" t="s">
        <v>119</v>
      </c>
      <c r="B470" s="34" t="s">
        <v>55</v>
      </c>
      <c r="C470" s="41" t="s">
        <v>75</v>
      </c>
      <c r="D470" s="41" t="s">
        <v>312</v>
      </c>
      <c r="E470" s="41" t="s">
        <v>27</v>
      </c>
      <c r="F470" s="20">
        <f>F471+F472+F473</f>
        <v>13773020</v>
      </c>
      <c r="G470" s="20">
        <f t="shared" ref="G470:H470" si="312">G471+G472+G473</f>
        <v>13773020</v>
      </c>
      <c r="H470" s="20">
        <f t="shared" si="312"/>
        <v>2956405.54</v>
      </c>
      <c r="I470" s="20">
        <f t="shared" si="304"/>
        <v>10816614.460000001</v>
      </c>
      <c r="J470" s="20">
        <f t="shared" si="307"/>
        <v>21.47</v>
      </c>
      <c r="K470" s="20">
        <f t="shared" si="308"/>
        <v>21.47</v>
      </c>
      <c r="L470" s="20"/>
      <c r="M470" s="35"/>
      <c r="N470" s="35"/>
    </row>
    <row r="471" spans="1:14" s="7" customFormat="1" ht="15.6" x14ac:dyDescent="0.25">
      <c r="A471" s="33" t="s">
        <v>140</v>
      </c>
      <c r="B471" s="34" t="s">
        <v>55</v>
      </c>
      <c r="C471" s="41" t="s">
        <v>75</v>
      </c>
      <c r="D471" s="41" t="s">
        <v>312</v>
      </c>
      <c r="E471" s="34" t="s">
        <v>141</v>
      </c>
      <c r="F471" s="24">
        <f>13579910-1000000</f>
        <v>12579910</v>
      </c>
      <c r="G471" s="24">
        <f t="shared" ref="G471" si="313">13579910-1000000</f>
        <v>12579910</v>
      </c>
      <c r="H471" s="24">
        <v>2639155.4</v>
      </c>
      <c r="I471" s="24">
        <f t="shared" si="304"/>
        <v>9940754.5999999996</v>
      </c>
      <c r="J471" s="24">
        <f t="shared" si="307"/>
        <v>20.98</v>
      </c>
      <c r="K471" s="24">
        <f t="shared" si="308"/>
        <v>20.98</v>
      </c>
      <c r="L471" s="24"/>
      <c r="M471" s="35"/>
      <c r="N471" s="35"/>
    </row>
    <row r="472" spans="1:14" s="7" customFormat="1" ht="31.2" x14ac:dyDescent="0.25">
      <c r="A472" s="33" t="s">
        <v>125</v>
      </c>
      <c r="B472" s="34" t="s">
        <v>55</v>
      </c>
      <c r="C472" s="41" t="s">
        <v>75</v>
      </c>
      <c r="D472" s="41" t="s">
        <v>312</v>
      </c>
      <c r="E472" s="34" t="s">
        <v>126</v>
      </c>
      <c r="F472" s="24">
        <v>1193110</v>
      </c>
      <c r="G472" s="24">
        <v>1193110</v>
      </c>
      <c r="H472" s="24">
        <v>317250.14</v>
      </c>
      <c r="I472" s="24">
        <f t="shared" si="304"/>
        <v>875859.86</v>
      </c>
      <c r="J472" s="24">
        <f t="shared" si="307"/>
        <v>26.59</v>
      </c>
      <c r="K472" s="24">
        <f t="shared" si="308"/>
        <v>26.59</v>
      </c>
      <c r="L472" s="24"/>
      <c r="M472" s="35"/>
      <c r="N472" s="35"/>
    </row>
    <row r="473" spans="1:14" s="7" customFormat="1" ht="15.6" x14ac:dyDescent="0.25">
      <c r="A473" s="33" t="s">
        <v>129</v>
      </c>
      <c r="B473" s="34" t="s">
        <v>55</v>
      </c>
      <c r="C473" s="41" t="s">
        <v>75</v>
      </c>
      <c r="D473" s="41" t="s">
        <v>312</v>
      </c>
      <c r="E473" s="34" t="s">
        <v>142</v>
      </c>
      <c r="F473" s="24">
        <v>0</v>
      </c>
      <c r="G473" s="24">
        <v>0</v>
      </c>
      <c r="H473" s="24">
        <v>0</v>
      </c>
      <c r="I473" s="24">
        <f t="shared" si="304"/>
        <v>0</v>
      </c>
      <c r="J473" s="24" t="s">
        <v>668</v>
      </c>
      <c r="K473" s="24" t="s">
        <v>668</v>
      </c>
      <c r="L473" s="24"/>
      <c r="M473" s="35"/>
      <c r="N473" s="35"/>
    </row>
    <row r="474" spans="1:14" s="7" customFormat="1" ht="46.8" x14ac:dyDescent="0.25">
      <c r="A474" s="30" t="s">
        <v>124</v>
      </c>
      <c r="B474" s="34" t="s">
        <v>55</v>
      </c>
      <c r="C474" s="41" t="s">
        <v>75</v>
      </c>
      <c r="D474" s="34" t="s">
        <v>313</v>
      </c>
      <c r="E474" s="34" t="s">
        <v>27</v>
      </c>
      <c r="F474" s="24">
        <f>F475</f>
        <v>0</v>
      </c>
      <c r="G474" s="24">
        <f t="shared" ref="G474:H474" si="314">G475</f>
        <v>0</v>
      </c>
      <c r="H474" s="24">
        <f t="shared" si="314"/>
        <v>0</v>
      </c>
      <c r="I474" s="24">
        <f t="shared" si="304"/>
        <v>0</v>
      </c>
      <c r="J474" s="24" t="s">
        <v>668</v>
      </c>
      <c r="K474" s="24" t="s">
        <v>668</v>
      </c>
      <c r="L474" s="24"/>
      <c r="M474" s="35"/>
      <c r="N474" s="35"/>
    </row>
    <row r="475" spans="1:14" s="7" customFormat="1" ht="31.2" x14ac:dyDescent="0.25">
      <c r="A475" s="33" t="s">
        <v>125</v>
      </c>
      <c r="B475" s="34" t="s">
        <v>55</v>
      </c>
      <c r="C475" s="41" t="s">
        <v>75</v>
      </c>
      <c r="D475" s="34" t="s">
        <v>313</v>
      </c>
      <c r="E475" s="34" t="s">
        <v>126</v>
      </c>
      <c r="F475" s="24">
        <v>0</v>
      </c>
      <c r="G475" s="24">
        <v>0</v>
      </c>
      <c r="H475" s="24">
        <v>0</v>
      </c>
      <c r="I475" s="24">
        <f t="shared" si="304"/>
        <v>0</v>
      </c>
      <c r="J475" s="24" t="s">
        <v>668</v>
      </c>
      <c r="K475" s="24" t="s">
        <v>668</v>
      </c>
      <c r="L475" s="24"/>
      <c r="M475" s="35"/>
      <c r="N475" s="35"/>
    </row>
    <row r="476" spans="1:14" s="7" customFormat="1" ht="78" x14ac:dyDescent="0.25">
      <c r="A476" s="33" t="s">
        <v>317</v>
      </c>
      <c r="B476" s="34" t="s">
        <v>55</v>
      </c>
      <c r="C476" s="34" t="s">
        <v>75</v>
      </c>
      <c r="D476" s="37" t="s">
        <v>315</v>
      </c>
      <c r="E476" s="34" t="s">
        <v>27</v>
      </c>
      <c r="F476" s="20">
        <f>F477</f>
        <v>0</v>
      </c>
      <c r="G476" s="20">
        <f t="shared" ref="G476:H477" si="315">G477</f>
        <v>3182570</v>
      </c>
      <c r="H476" s="20">
        <f t="shared" si="315"/>
        <v>0</v>
      </c>
      <c r="I476" s="20">
        <f t="shared" si="304"/>
        <v>3182570</v>
      </c>
      <c r="J476" s="20" t="s">
        <v>668</v>
      </c>
      <c r="K476" s="20">
        <f t="shared" si="308"/>
        <v>0</v>
      </c>
      <c r="L476" s="20"/>
      <c r="M476" s="35"/>
      <c r="N476" s="35"/>
    </row>
    <row r="477" spans="1:14" s="7" customFormat="1" ht="62.4" x14ac:dyDescent="0.25">
      <c r="A477" s="33" t="s">
        <v>428</v>
      </c>
      <c r="B477" s="34" t="s">
        <v>55</v>
      </c>
      <c r="C477" s="34" t="s">
        <v>75</v>
      </c>
      <c r="D477" s="37" t="s">
        <v>314</v>
      </c>
      <c r="E477" s="34" t="s">
        <v>27</v>
      </c>
      <c r="F477" s="20">
        <f>F478</f>
        <v>0</v>
      </c>
      <c r="G477" s="20">
        <f t="shared" si="315"/>
        <v>3182570</v>
      </c>
      <c r="H477" s="20">
        <f t="shared" si="315"/>
        <v>0</v>
      </c>
      <c r="I477" s="20">
        <f t="shared" si="304"/>
        <v>3182570</v>
      </c>
      <c r="J477" s="20" t="s">
        <v>668</v>
      </c>
      <c r="K477" s="20">
        <f t="shared" si="308"/>
        <v>0</v>
      </c>
      <c r="L477" s="20"/>
      <c r="M477" s="35"/>
      <c r="N477" s="35"/>
    </row>
    <row r="478" spans="1:14" s="7" customFormat="1" ht="62.4" x14ac:dyDescent="0.25">
      <c r="A478" s="33" t="s">
        <v>316</v>
      </c>
      <c r="B478" s="34" t="s">
        <v>55</v>
      </c>
      <c r="C478" s="34" t="s">
        <v>75</v>
      </c>
      <c r="D478" s="37" t="s">
        <v>244</v>
      </c>
      <c r="E478" s="34" t="s">
        <v>27</v>
      </c>
      <c r="F478" s="20">
        <f>F479+F481+F483</f>
        <v>0</v>
      </c>
      <c r="G478" s="20">
        <f t="shared" ref="G478:H478" si="316">G479+G481+G483</f>
        <v>3182570</v>
      </c>
      <c r="H478" s="20">
        <f t="shared" si="316"/>
        <v>0</v>
      </c>
      <c r="I478" s="20">
        <f t="shared" si="304"/>
        <v>3182570</v>
      </c>
      <c r="J478" s="20" t="s">
        <v>668</v>
      </c>
      <c r="K478" s="20">
        <f t="shared" si="308"/>
        <v>0</v>
      </c>
      <c r="L478" s="20"/>
      <c r="M478" s="35"/>
      <c r="N478" s="35"/>
    </row>
    <row r="479" spans="1:14" s="7" customFormat="1" ht="78" x14ac:dyDescent="0.25">
      <c r="A479" s="43" t="s">
        <v>242</v>
      </c>
      <c r="B479" s="34" t="s">
        <v>55</v>
      </c>
      <c r="C479" s="34" t="s">
        <v>75</v>
      </c>
      <c r="D479" s="37" t="s">
        <v>243</v>
      </c>
      <c r="E479" s="34" t="s">
        <v>27</v>
      </c>
      <c r="F479" s="20">
        <f>F480</f>
        <v>0</v>
      </c>
      <c r="G479" s="20">
        <f t="shared" ref="G479:H479" si="317">G480</f>
        <v>0</v>
      </c>
      <c r="H479" s="20">
        <f t="shared" si="317"/>
        <v>0</v>
      </c>
      <c r="I479" s="20">
        <f t="shared" si="304"/>
        <v>0</v>
      </c>
      <c r="J479" s="20" t="s">
        <v>668</v>
      </c>
      <c r="K479" s="20" t="s">
        <v>668</v>
      </c>
      <c r="L479" s="20"/>
      <c r="M479" s="35"/>
      <c r="N479" s="35"/>
    </row>
    <row r="480" spans="1:14" s="7" customFormat="1" ht="31.2" x14ac:dyDescent="0.25">
      <c r="A480" s="33" t="s">
        <v>125</v>
      </c>
      <c r="B480" s="34" t="s">
        <v>55</v>
      </c>
      <c r="C480" s="34" t="s">
        <v>75</v>
      </c>
      <c r="D480" s="37" t="s">
        <v>243</v>
      </c>
      <c r="E480" s="34" t="s">
        <v>126</v>
      </c>
      <c r="F480" s="20">
        <v>0</v>
      </c>
      <c r="G480" s="20">
        <v>0</v>
      </c>
      <c r="H480" s="20">
        <v>0</v>
      </c>
      <c r="I480" s="20">
        <f t="shared" si="304"/>
        <v>0</v>
      </c>
      <c r="J480" s="20" t="s">
        <v>668</v>
      </c>
      <c r="K480" s="20" t="s">
        <v>668</v>
      </c>
      <c r="L480" s="20"/>
      <c r="M480" s="35"/>
      <c r="N480" s="35"/>
    </row>
    <row r="481" spans="1:14" s="7" customFormat="1" ht="62.4" x14ac:dyDescent="0.25">
      <c r="A481" s="33" t="s">
        <v>422</v>
      </c>
      <c r="B481" s="34" t="s">
        <v>55</v>
      </c>
      <c r="C481" s="34" t="s">
        <v>75</v>
      </c>
      <c r="D481" s="37" t="s">
        <v>243</v>
      </c>
      <c r="E481" s="34" t="s">
        <v>27</v>
      </c>
      <c r="F481" s="20">
        <f>F482</f>
        <v>0</v>
      </c>
      <c r="G481" s="20">
        <f t="shared" ref="G481:H481" si="318">G482</f>
        <v>0</v>
      </c>
      <c r="H481" s="20">
        <f t="shared" si="318"/>
        <v>0</v>
      </c>
      <c r="I481" s="20">
        <f t="shared" si="304"/>
        <v>0</v>
      </c>
      <c r="J481" s="20" t="s">
        <v>668</v>
      </c>
      <c r="K481" s="20" t="s">
        <v>668</v>
      </c>
      <c r="L481" s="20"/>
      <c r="M481" s="35"/>
      <c r="N481" s="35"/>
    </row>
    <row r="482" spans="1:14" s="7" customFormat="1" ht="31.2" x14ac:dyDescent="0.25">
      <c r="A482" s="33" t="s">
        <v>125</v>
      </c>
      <c r="B482" s="34" t="s">
        <v>55</v>
      </c>
      <c r="C482" s="34" t="s">
        <v>75</v>
      </c>
      <c r="D482" s="37" t="s">
        <v>243</v>
      </c>
      <c r="E482" s="34" t="s">
        <v>126</v>
      </c>
      <c r="F482" s="20">
        <v>0</v>
      </c>
      <c r="G482" s="20">
        <v>0</v>
      </c>
      <c r="H482" s="20">
        <v>0</v>
      </c>
      <c r="I482" s="20">
        <f t="shared" si="304"/>
        <v>0</v>
      </c>
      <c r="J482" s="20" t="s">
        <v>668</v>
      </c>
      <c r="K482" s="20" t="s">
        <v>668</v>
      </c>
      <c r="L482" s="20"/>
      <c r="M482" s="35"/>
      <c r="N482" s="35"/>
    </row>
    <row r="483" spans="1:14" s="7" customFormat="1" ht="31.2" x14ac:dyDescent="0.25">
      <c r="A483" s="33" t="s">
        <v>241</v>
      </c>
      <c r="B483" s="34" t="s">
        <v>55</v>
      </c>
      <c r="C483" s="34" t="s">
        <v>75</v>
      </c>
      <c r="D483" s="37" t="s">
        <v>421</v>
      </c>
      <c r="E483" s="34" t="s">
        <v>27</v>
      </c>
      <c r="F483" s="20">
        <f>F484</f>
        <v>0</v>
      </c>
      <c r="G483" s="20">
        <f t="shared" ref="G483:H483" si="319">G484</f>
        <v>3182570</v>
      </c>
      <c r="H483" s="20">
        <f t="shared" si="319"/>
        <v>0</v>
      </c>
      <c r="I483" s="20">
        <f t="shared" si="304"/>
        <v>3182570</v>
      </c>
      <c r="J483" s="20" t="s">
        <v>668</v>
      </c>
      <c r="K483" s="20">
        <f t="shared" si="308"/>
        <v>0</v>
      </c>
      <c r="L483" s="20"/>
      <c r="M483" s="35"/>
      <c r="N483" s="35"/>
    </row>
    <row r="484" spans="1:14" s="7" customFormat="1" ht="31.2" x14ac:dyDescent="0.25">
      <c r="A484" s="33" t="s">
        <v>125</v>
      </c>
      <c r="B484" s="34" t="s">
        <v>55</v>
      </c>
      <c r="C484" s="34" t="s">
        <v>75</v>
      </c>
      <c r="D484" s="37" t="s">
        <v>421</v>
      </c>
      <c r="E484" s="34" t="s">
        <v>126</v>
      </c>
      <c r="F484" s="20">
        <v>0</v>
      </c>
      <c r="G484" s="20">
        <f t="shared" ref="G484" si="320">0+3182570</f>
        <v>3182570</v>
      </c>
      <c r="H484" s="20">
        <v>0</v>
      </c>
      <c r="I484" s="20">
        <f t="shared" si="304"/>
        <v>3182570</v>
      </c>
      <c r="J484" s="20" t="s">
        <v>668</v>
      </c>
      <c r="K484" s="20">
        <f t="shared" si="308"/>
        <v>0</v>
      </c>
      <c r="L484" s="20"/>
      <c r="M484" s="35"/>
      <c r="N484" s="35"/>
    </row>
    <row r="485" spans="1:14" s="9" customFormat="1" ht="46.8" x14ac:dyDescent="0.3">
      <c r="A485" s="54" t="s">
        <v>438</v>
      </c>
      <c r="B485" s="55">
        <v>995</v>
      </c>
      <c r="C485" s="56" t="s">
        <v>28</v>
      </c>
      <c r="D485" s="56" t="s">
        <v>154</v>
      </c>
      <c r="E485" s="56" t="s">
        <v>27</v>
      </c>
      <c r="F485" s="21">
        <f>F486+F576</f>
        <v>738478308.50999999</v>
      </c>
      <c r="G485" s="21">
        <f t="shared" ref="G485:H485" si="321">G486+G576</f>
        <v>755202024.01999998</v>
      </c>
      <c r="H485" s="21">
        <f t="shared" si="321"/>
        <v>162088265.71000001</v>
      </c>
      <c r="I485" s="21">
        <f t="shared" si="304"/>
        <v>593113758.30999994</v>
      </c>
      <c r="J485" s="21">
        <f t="shared" si="307"/>
        <v>21.95</v>
      </c>
      <c r="K485" s="21">
        <f t="shared" si="308"/>
        <v>21.46</v>
      </c>
      <c r="L485" s="21"/>
      <c r="M485" s="35"/>
      <c r="N485" s="35"/>
    </row>
    <row r="486" spans="1:14" s="9" customFormat="1" ht="15.6" x14ac:dyDescent="0.3">
      <c r="A486" s="54" t="s">
        <v>32</v>
      </c>
      <c r="B486" s="56" t="s">
        <v>63</v>
      </c>
      <c r="C486" s="56" t="s">
        <v>46</v>
      </c>
      <c r="D486" s="56" t="s">
        <v>154</v>
      </c>
      <c r="E486" s="73" t="s">
        <v>27</v>
      </c>
      <c r="F486" s="21">
        <f>F487+F505+F548+F554+F565</f>
        <v>729648165.50999999</v>
      </c>
      <c r="G486" s="21">
        <f t="shared" ref="G486:H486" si="322">G487+G505+G548+G554+G565</f>
        <v>746348439.01999998</v>
      </c>
      <c r="H486" s="21">
        <f t="shared" si="322"/>
        <v>161023634.65000001</v>
      </c>
      <c r="I486" s="21">
        <f t="shared" si="304"/>
        <v>585324804.37</v>
      </c>
      <c r="J486" s="21">
        <f t="shared" si="307"/>
        <v>22.07</v>
      </c>
      <c r="K486" s="21">
        <f t="shared" si="308"/>
        <v>21.57</v>
      </c>
      <c r="L486" s="21"/>
      <c r="M486" s="35"/>
      <c r="N486" s="35"/>
    </row>
    <row r="487" spans="1:14" s="9" customFormat="1" ht="15.6" x14ac:dyDescent="0.3">
      <c r="A487" s="30" t="s">
        <v>39</v>
      </c>
      <c r="B487" s="34" t="s">
        <v>63</v>
      </c>
      <c r="C487" s="34" t="s">
        <v>47</v>
      </c>
      <c r="D487" s="34" t="s">
        <v>154</v>
      </c>
      <c r="E487" s="41" t="s">
        <v>27</v>
      </c>
      <c r="F487" s="20">
        <f t="shared" ref="F487:H488" si="323">F488</f>
        <v>189490678.22</v>
      </c>
      <c r="G487" s="20">
        <f t="shared" si="323"/>
        <v>190636279.59</v>
      </c>
      <c r="H487" s="20">
        <f t="shared" si="323"/>
        <v>40528603.719999999</v>
      </c>
      <c r="I487" s="20">
        <f t="shared" si="304"/>
        <v>150107675.87</v>
      </c>
      <c r="J487" s="20">
        <f t="shared" si="307"/>
        <v>21.39</v>
      </c>
      <c r="K487" s="20">
        <f t="shared" si="308"/>
        <v>21.26</v>
      </c>
      <c r="L487" s="20"/>
      <c r="M487" s="35"/>
      <c r="N487" s="35"/>
    </row>
    <row r="488" spans="1:14" s="9" customFormat="1" ht="46.8" x14ac:dyDescent="0.3">
      <c r="A488" s="30" t="s">
        <v>426</v>
      </c>
      <c r="B488" s="34" t="s">
        <v>63</v>
      </c>
      <c r="C488" s="34" t="s">
        <v>47</v>
      </c>
      <c r="D488" s="34" t="s">
        <v>0</v>
      </c>
      <c r="E488" s="41" t="s">
        <v>27</v>
      </c>
      <c r="F488" s="20">
        <f>F489</f>
        <v>189490678.22</v>
      </c>
      <c r="G488" s="20">
        <f t="shared" si="323"/>
        <v>190636279.59</v>
      </c>
      <c r="H488" s="20">
        <f t="shared" si="323"/>
        <v>40528603.719999999</v>
      </c>
      <c r="I488" s="20">
        <f t="shared" si="304"/>
        <v>150107675.87</v>
      </c>
      <c r="J488" s="20">
        <f t="shared" si="307"/>
        <v>21.39</v>
      </c>
      <c r="K488" s="20">
        <f t="shared" si="308"/>
        <v>21.26</v>
      </c>
      <c r="L488" s="20"/>
      <c r="M488" s="35"/>
      <c r="N488" s="35"/>
    </row>
    <row r="489" spans="1:14" s="9" customFormat="1" ht="31.2" x14ac:dyDescent="0.3">
      <c r="A489" s="30" t="s">
        <v>274</v>
      </c>
      <c r="B489" s="34" t="s">
        <v>63</v>
      </c>
      <c r="C489" s="34" t="s">
        <v>47</v>
      </c>
      <c r="D489" s="34" t="s">
        <v>18</v>
      </c>
      <c r="E489" s="41" t="s">
        <v>27</v>
      </c>
      <c r="F489" s="20">
        <f>F490+F497+F500</f>
        <v>189490678.22</v>
      </c>
      <c r="G489" s="20">
        <f t="shared" ref="G489:H489" si="324">G490+G497+G500</f>
        <v>190636279.59</v>
      </c>
      <c r="H489" s="20">
        <f t="shared" si="324"/>
        <v>40528603.719999999</v>
      </c>
      <c r="I489" s="20">
        <f t="shared" si="304"/>
        <v>150107675.87</v>
      </c>
      <c r="J489" s="20">
        <f t="shared" si="307"/>
        <v>21.39</v>
      </c>
      <c r="K489" s="20">
        <f t="shared" si="308"/>
        <v>21.26</v>
      </c>
      <c r="L489" s="20"/>
      <c r="M489" s="35"/>
      <c r="N489" s="35"/>
    </row>
    <row r="490" spans="1:14" s="7" customFormat="1" ht="31.2" x14ac:dyDescent="0.3">
      <c r="A490" s="74" t="s">
        <v>220</v>
      </c>
      <c r="B490" s="34" t="s">
        <v>63</v>
      </c>
      <c r="C490" s="34" t="s">
        <v>47</v>
      </c>
      <c r="D490" s="34" t="s">
        <v>221</v>
      </c>
      <c r="E490" s="41" t="s">
        <v>27</v>
      </c>
      <c r="F490" s="20">
        <f>F491+F493+F495</f>
        <v>179986808.25</v>
      </c>
      <c r="G490" s="20">
        <f t="shared" ref="G490:H490" si="325">G491+G493+G495</f>
        <v>190636279.59</v>
      </c>
      <c r="H490" s="20">
        <f t="shared" si="325"/>
        <v>40528603.719999999</v>
      </c>
      <c r="I490" s="20">
        <f t="shared" si="304"/>
        <v>150107675.87</v>
      </c>
      <c r="J490" s="20">
        <f t="shared" si="307"/>
        <v>22.52</v>
      </c>
      <c r="K490" s="20">
        <f t="shared" si="308"/>
        <v>21.26</v>
      </c>
      <c r="L490" s="20"/>
      <c r="M490" s="35"/>
      <c r="N490" s="35"/>
    </row>
    <row r="491" spans="1:14" s="9" customFormat="1" ht="46.8" x14ac:dyDescent="0.3">
      <c r="A491" s="30" t="s">
        <v>119</v>
      </c>
      <c r="B491" s="34" t="s">
        <v>63</v>
      </c>
      <c r="C491" s="34" t="s">
        <v>47</v>
      </c>
      <c r="D491" s="34" t="s">
        <v>217</v>
      </c>
      <c r="E491" s="34" t="s">
        <v>27</v>
      </c>
      <c r="F491" s="24">
        <f>F492</f>
        <v>90245750</v>
      </c>
      <c r="G491" s="24">
        <f t="shared" ref="G491:H491" si="326">G492</f>
        <v>106889897.90000001</v>
      </c>
      <c r="H491" s="24">
        <f t="shared" si="326"/>
        <v>21721553.359999999</v>
      </c>
      <c r="I491" s="24">
        <f t="shared" si="304"/>
        <v>85168344.540000007</v>
      </c>
      <c r="J491" s="24">
        <f t="shared" si="307"/>
        <v>24.07</v>
      </c>
      <c r="K491" s="24">
        <f t="shared" si="308"/>
        <v>20.32</v>
      </c>
      <c r="L491" s="24"/>
      <c r="M491" s="35"/>
      <c r="N491" s="35"/>
    </row>
    <row r="492" spans="1:14" s="9" customFormat="1" ht="15.6" x14ac:dyDescent="0.3">
      <c r="A492" s="30" t="s">
        <v>138</v>
      </c>
      <c r="B492" s="34" t="s">
        <v>63</v>
      </c>
      <c r="C492" s="34" t="s">
        <v>47</v>
      </c>
      <c r="D492" s="34" t="s">
        <v>217</v>
      </c>
      <c r="E492" s="34" t="s">
        <v>139</v>
      </c>
      <c r="F492" s="24">
        <f>90245750</f>
        <v>90245750</v>
      </c>
      <c r="G492" s="24">
        <f t="shared" ref="G492" si="327">90245750+16644148-0.1</f>
        <v>106889897.90000001</v>
      </c>
      <c r="H492" s="24">
        <v>21721553.359999999</v>
      </c>
      <c r="I492" s="24">
        <f t="shared" si="304"/>
        <v>85168344.540000007</v>
      </c>
      <c r="J492" s="24">
        <f t="shared" si="307"/>
        <v>24.07</v>
      </c>
      <c r="K492" s="24">
        <f t="shared" si="308"/>
        <v>20.32</v>
      </c>
      <c r="L492" s="24"/>
      <c r="M492" s="35"/>
      <c r="N492" s="35"/>
    </row>
    <row r="493" spans="1:14" s="9" customFormat="1" ht="93.6" x14ac:dyDescent="0.3">
      <c r="A493" s="30" t="s">
        <v>123</v>
      </c>
      <c r="B493" s="34" t="s">
        <v>63</v>
      </c>
      <c r="C493" s="34" t="s">
        <v>47</v>
      </c>
      <c r="D493" s="34" t="s">
        <v>218</v>
      </c>
      <c r="E493" s="34" t="s">
        <v>27</v>
      </c>
      <c r="F493" s="24">
        <f>F494</f>
        <v>1036713.25</v>
      </c>
      <c r="G493" s="24">
        <f t="shared" ref="G493:H493" si="328">G494</f>
        <v>2372173.69</v>
      </c>
      <c r="H493" s="24">
        <f t="shared" si="328"/>
        <v>598705.36</v>
      </c>
      <c r="I493" s="24">
        <f t="shared" si="304"/>
        <v>1773468.33</v>
      </c>
      <c r="J493" s="24">
        <f t="shared" si="307"/>
        <v>57.75</v>
      </c>
      <c r="K493" s="24">
        <f t="shared" si="308"/>
        <v>25.24</v>
      </c>
      <c r="L493" s="24"/>
      <c r="M493" s="35"/>
      <c r="N493" s="35"/>
    </row>
    <row r="494" spans="1:14" s="9" customFormat="1" ht="15.6" x14ac:dyDescent="0.3">
      <c r="A494" s="30" t="s">
        <v>138</v>
      </c>
      <c r="B494" s="34" t="s">
        <v>63</v>
      </c>
      <c r="C494" s="34" t="s">
        <v>47</v>
      </c>
      <c r="D494" s="34" t="s">
        <v>218</v>
      </c>
      <c r="E494" s="34" t="s">
        <v>139</v>
      </c>
      <c r="F494" s="24">
        <f>1036713.25</f>
        <v>1036713.25</v>
      </c>
      <c r="G494" s="24">
        <f t="shared" ref="G494" si="329">1036713.25+1335460.44</f>
        <v>2372173.69</v>
      </c>
      <c r="H494" s="24">
        <v>598705.36</v>
      </c>
      <c r="I494" s="24">
        <f t="shared" si="304"/>
        <v>1773468.33</v>
      </c>
      <c r="J494" s="24">
        <f t="shared" si="307"/>
        <v>57.75</v>
      </c>
      <c r="K494" s="24">
        <f t="shared" si="308"/>
        <v>25.24</v>
      </c>
      <c r="L494" s="24"/>
      <c r="M494" s="35"/>
      <c r="N494" s="35"/>
    </row>
    <row r="495" spans="1:14" s="7" customFormat="1" ht="78" x14ac:dyDescent="0.25">
      <c r="A495" s="30" t="s">
        <v>248</v>
      </c>
      <c r="B495" s="34" t="s">
        <v>63</v>
      </c>
      <c r="C495" s="34" t="s">
        <v>47</v>
      </c>
      <c r="D495" s="34" t="s">
        <v>219</v>
      </c>
      <c r="E495" s="34" t="s">
        <v>27</v>
      </c>
      <c r="F495" s="20">
        <f>F496</f>
        <v>88704345</v>
      </c>
      <c r="G495" s="20">
        <f t="shared" ref="G495:H495" si="330">G496</f>
        <v>81374208</v>
      </c>
      <c r="H495" s="20">
        <f t="shared" si="330"/>
        <v>18208345</v>
      </c>
      <c r="I495" s="20">
        <f t="shared" si="304"/>
        <v>63165863</v>
      </c>
      <c r="J495" s="20">
        <f t="shared" si="307"/>
        <v>20.53</v>
      </c>
      <c r="K495" s="20">
        <f t="shared" si="308"/>
        <v>22.38</v>
      </c>
      <c r="L495" s="20"/>
      <c r="M495" s="35"/>
      <c r="N495" s="35"/>
    </row>
    <row r="496" spans="1:14" s="7" customFormat="1" ht="15.6" x14ac:dyDescent="0.25">
      <c r="A496" s="30" t="s">
        <v>138</v>
      </c>
      <c r="B496" s="34" t="s">
        <v>63</v>
      </c>
      <c r="C496" s="34" t="s">
        <v>47</v>
      </c>
      <c r="D496" s="34" t="s">
        <v>219</v>
      </c>
      <c r="E496" s="34" t="s">
        <v>139</v>
      </c>
      <c r="F496" s="23">
        <f>85704345+3000000</f>
        <v>88704345</v>
      </c>
      <c r="G496" s="23">
        <f t="shared" ref="G496" si="331">85704345+3000000-3000000-4330137</f>
        <v>81374208</v>
      </c>
      <c r="H496" s="23">
        <v>18208345</v>
      </c>
      <c r="I496" s="23">
        <f t="shared" si="304"/>
        <v>63165863</v>
      </c>
      <c r="J496" s="23">
        <f t="shared" si="307"/>
        <v>20.53</v>
      </c>
      <c r="K496" s="23">
        <f t="shared" si="308"/>
        <v>22.38</v>
      </c>
      <c r="L496" s="23"/>
      <c r="M496" s="35"/>
      <c r="N496" s="35"/>
    </row>
    <row r="497" spans="1:14" s="7" customFormat="1" ht="31.2" x14ac:dyDescent="0.3">
      <c r="A497" s="74" t="s">
        <v>275</v>
      </c>
      <c r="B497" s="34" t="s">
        <v>63</v>
      </c>
      <c r="C497" s="34" t="s">
        <v>47</v>
      </c>
      <c r="D497" s="34" t="s">
        <v>276</v>
      </c>
      <c r="E497" s="41" t="s">
        <v>27</v>
      </c>
      <c r="F497" s="20">
        <f>F498</f>
        <v>1112080.5</v>
      </c>
      <c r="G497" s="20">
        <f t="shared" ref="G497:H498" si="332">G498</f>
        <v>0</v>
      </c>
      <c r="H497" s="20">
        <f t="shared" si="332"/>
        <v>0</v>
      </c>
      <c r="I497" s="20">
        <f t="shared" si="304"/>
        <v>0</v>
      </c>
      <c r="J497" s="20">
        <f t="shared" si="307"/>
        <v>0</v>
      </c>
      <c r="K497" s="20" t="s">
        <v>668</v>
      </c>
      <c r="L497" s="20"/>
      <c r="M497" s="35"/>
      <c r="N497" s="35"/>
    </row>
    <row r="498" spans="1:14" s="7" customFormat="1" ht="78" x14ac:dyDescent="0.25">
      <c r="A498" s="30" t="s">
        <v>262</v>
      </c>
      <c r="B498" s="34" t="s">
        <v>63</v>
      </c>
      <c r="C498" s="34" t="s">
        <v>47</v>
      </c>
      <c r="D498" s="34" t="s">
        <v>263</v>
      </c>
      <c r="E498" s="34" t="s">
        <v>27</v>
      </c>
      <c r="F498" s="24">
        <f>F499</f>
        <v>1112080.5</v>
      </c>
      <c r="G498" s="24">
        <f t="shared" si="332"/>
        <v>0</v>
      </c>
      <c r="H498" s="24">
        <f t="shared" si="332"/>
        <v>0</v>
      </c>
      <c r="I498" s="24">
        <f t="shared" si="304"/>
        <v>0</v>
      </c>
      <c r="J498" s="24">
        <f t="shared" si="307"/>
        <v>0</v>
      </c>
      <c r="K498" s="24" t="s">
        <v>668</v>
      </c>
      <c r="L498" s="24"/>
      <c r="M498" s="35"/>
      <c r="N498" s="35"/>
    </row>
    <row r="499" spans="1:14" s="7" customFormat="1" ht="15.6" x14ac:dyDescent="0.25">
      <c r="A499" s="30" t="s">
        <v>138</v>
      </c>
      <c r="B499" s="34" t="s">
        <v>63</v>
      </c>
      <c r="C499" s="34" t="s">
        <v>47</v>
      </c>
      <c r="D499" s="34" t="s">
        <v>263</v>
      </c>
      <c r="E499" s="34" t="s">
        <v>139</v>
      </c>
      <c r="F499" s="24">
        <f>1112080.5</f>
        <v>1112080.5</v>
      </c>
      <c r="G499" s="24">
        <f t="shared" ref="G499:H499" si="333">1112080.5-1112080.5</f>
        <v>0</v>
      </c>
      <c r="H499" s="24">
        <f t="shared" si="333"/>
        <v>0</v>
      </c>
      <c r="I499" s="24">
        <f t="shared" si="304"/>
        <v>0</v>
      </c>
      <c r="J499" s="24">
        <f t="shared" si="307"/>
        <v>0</v>
      </c>
      <c r="K499" s="24" t="s">
        <v>668</v>
      </c>
      <c r="L499" s="24"/>
      <c r="M499" s="35"/>
      <c r="N499" s="35"/>
    </row>
    <row r="500" spans="1:14" s="7" customFormat="1" ht="78" x14ac:dyDescent="0.3">
      <c r="A500" s="74" t="s">
        <v>423</v>
      </c>
      <c r="B500" s="34" t="s">
        <v>63</v>
      </c>
      <c r="C500" s="34" t="s">
        <v>47</v>
      </c>
      <c r="D500" s="34" t="s">
        <v>400</v>
      </c>
      <c r="E500" s="41" t="s">
        <v>27</v>
      </c>
      <c r="F500" s="20">
        <f>F503+F501</f>
        <v>8391789.4700000007</v>
      </c>
      <c r="G500" s="20">
        <f t="shared" ref="G500:H500" si="334">G503+G501</f>
        <v>0</v>
      </c>
      <c r="H500" s="20">
        <f t="shared" si="334"/>
        <v>0</v>
      </c>
      <c r="I500" s="20">
        <f t="shared" si="304"/>
        <v>0</v>
      </c>
      <c r="J500" s="20">
        <f t="shared" si="307"/>
        <v>0</v>
      </c>
      <c r="K500" s="20" t="s">
        <v>668</v>
      </c>
      <c r="L500" s="20"/>
      <c r="M500" s="35"/>
      <c r="N500" s="35"/>
    </row>
    <row r="501" spans="1:14" s="7" customFormat="1" ht="109.2" x14ac:dyDescent="0.25">
      <c r="A501" s="30" t="s">
        <v>469</v>
      </c>
      <c r="B501" s="51" t="s">
        <v>63</v>
      </c>
      <c r="C501" s="34" t="s">
        <v>47</v>
      </c>
      <c r="D501" s="44" t="s">
        <v>401</v>
      </c>
      <c r="E501" s="41" t="s">
        <v>27</v>
      </c>
      <c r="F501" s="24">
        <f>F502</f>
        <v>7972200</v>
      </c>
      <c r="G501" s="24">
        <f t="shared" ref="G501:H501" si="335">G502</f>
        <v>0</v>
      </c>
      <c r="H501" s="24">
        <f t="shared" si="335"/>
        <v>0</v>
      </c>
      <c r="I501" s="24">
        <f t="shared" si="304"/>
        <v>0</v>
      </c>
      <c r="J501" s="24">
        <f t="shared" si="307"/>
        <v>0</v>
      </c>
      <c r="K501" s="24" t="s">
        <v>668</v>
      </c>
      <c r="L501" s="24"/>
      <c r="M501" s="35"/>
      <c r="N501" s="35"/>
    </row>
    <row r="502" spans="1:14" s="7" customFormat="1" ht="15.6" x14ac:dyDescent="0.25">
      <c r="A502" s="30" t="s">
        <v>138</v>
      </c>
      <c r="B502" s="34" t="s">
        <v>63</v>
      </c>
      <c r="C502" s="34" t="s">
        <v>47</v>
      </c>
      <c r="D502" s="44" t="s">
        <v>401</v>
      </c>
      <c r="E502" s="41" t="s">
        <v>139</v>
      </c>
      <c r="F502" s="24">
        <f>7972200</f>
        <v>7972200</v>
      </c>
      <c r="G502" s="24">
        <f t="shared" ref="G502:H502" si="336">7972200-7972200</f>
        <v>0</v>
      </c>
      <c r="H502" s="24">
        <f t="shared" si="336"/>
        <v>0</v>
      </c>
      <c r="I502" s="24">
        <f t="shared" si="304"/>
        <v>0</v>
      </c>
      <c r="J502" s="24">
        <f t="shared" si="307"/>
        <v>0</v>
      </c>
      <c r="K502" s="24" t="s">
        <v>668</v>
      </c>
      <c r="L502" s="24"/>
      <c r="M502" s="35"/>
      <c r="N502" s="35"/>
    </row>
    <row r="503" spans="1:14" s="7" customFormat="1" ht="93.6" x14ac:dyDescent="0.25">
      <c r="A503" s="30" t="s">
        <v>396</v>
      </c>
      <c r="B503" s="51" t="s">
        <v>63</v>
      </c>
      <c r="C503" s="34" t="s">
        <v>47</v>
      </c>
      <c r="D503" s="44" t="s">
        <v>401</v>
      </c>
      <c r="E503" s="41" t="s">
        <v>27</v>
      </c>
      <c r="F503" s="24">
        <f>F504</f>
        <v>419589.47</v>
      </c>
      <c r="G503" s="24">
        <f t="shared" ref="G503:H503" si="337">G504</f>
        <v>0</v>
      </c>
      <c r="H503" s="24">
        <f t="shared" si="337"/>
        <v>0</v>
      </c>
      <c r="I503" s="24">
        <f t="shared" si="304"/>
        <v>0</v>
      </c>
      <c r="J503" s="24">
        <f t="shared" si="307"/>
        <v>0</v>
      </c>
      <c r="K503" s="24" t="s">
        <v>668</v>
      </c>
      <c r="L503" s="24"/>
      <c r="M503" s="35"/>
      <c r="N503" s="35"/>
    </row>
    <row r="504" spans="1:14" s="7" customFormat="1" ht="15.6" x14ac:dyDescent="0.25">
      <c r="A504" s="30" t="s">
        <v>138</v>
      </c>
      <c r="B504" s="34" t="s">
        <v>63</v>
      </c>
      <c r="C504" s="34" t="s">
        <v>47</v>
      </c>
      <c r="D504" s="44" t="s">
        <v>401</v>
      </c>
      <c r="E504" s="41" t="s">
        <v>139</v>
      </c>
      <c r="F504" s="24">
        <f>419589.47</f>
        <v>419589.47</v>
      </c>
      <c r="G504" s="24">
        <f t="shared" ref="G504:H504" si="338">419589.47-419589.47</f>
        <v>0</v>
      </c>
      <c r="H504" s="24">
        <f t="shared" si="338"/>
        <v>0</v>
      </c>
      <c r="I504" s="24">
        <f t="shared" si="304"/>
        <v>0</v>
      </c>
      <c r="J504" s="24">
        <f t="shared" si="307"/>
        <v>0</v>
      </c>
      <c r="K504" s="24" t="s">
        <v>668</v>
      </c>
      <c r="L504" s="24"/>
      <c r="M504" s="35"/>
      <c r="N504" s="35"/>
    </row>
    <row r="505" spans="1:14" s="7" customFormat="1" ht="15.6" x14ac:dyDescent="0.25">
      <c r="A505" s="30" t="s">
        <v>33</v>
      </c>
      <c r="B505" s="41" t="s">
        <v>63</v>
      </c>
      <c r="C505" s="41" t="s">
        <v>48</v>
      </c>
      <c r="D505" s="41" t="s">
        <v>154</v>
      </c>
      <c r="E505" s="41" t="s">
        <v>27</v>
      </c>
      <c r="F505" s="20">
        <f t="shared" ref="F505:H505" si="339">F506</f>
        <v>478835318.57999998</v>
      </c>
      <c r="G505" s="20">
        <f t="shared" si="339"/>
        <v>489144208.72000003</v>
      </c>
      <c r="H505" s="20">
        <f t="shared" si="339"/>
        <v>108334245.84</v>
      </c>
      <c r="I505" s="20">
        <f t="shared" si="304"/>
        <v>380809962.88</v>
      </c>
      <c r="J505" s="20">
        <f t="shared" si="307"/>
        <v>22.62</v>
      </c>
      <c r="K505" s="20">
        <f t="shared" si="308"/>
        <v>22.15</v>
      </c>
      <c r="L505" s="20"/>
      <c r="M505" s="35"/>
      <c r="N505" s="35"/>
    </row>
    <row r="506" spans="1:14" s="7" customFormat="1" ht="46.8" x14ac:dyDescent="0.25">
      <c r="A506" s="30" t="s">
        <v>426</v>
      </c>
      <c r="B506" s="41" t="s">
        <v>63</v>
      </c>
      <c r="C506" s="41" t="s">
        <v>48</v>
      </c>
      <c r="D506" s="41" t="s">
        <v>0</v>
      </c>
      <c r="E506" s="41" t="s">
        <v>27</v>
      </c>
      <c r="F506" s="20">
        <f>F507+F540</f>
        <v>478835318.57999998</v>
      </c>
      <c r="G506" s="20">
        <f t="shared" ref="G506:H506" si="340">G507+G540</f>
        <v>489144208.72000003</v>
      </c>
      <c r="H506" s="20">
        <f t="shared" si="340"/>
        <v>108334245.84</v>
      </c>
      <c r="I506" s="20">
        <f t="shared" si="304"/>
        <v>380809962.88</v>
      </c>
      <c r="J506" s="20">
        <f t="shared" si="307"/>
        <v>22.62</v>
      </c>
      <c r="K506" s="20">
        <f t="shared" si="308"/>
        <v>22.15</v>
      </c>
      <c r="L506" s="20"/>
      <c r="M506" s="35"/>
      <c r="N506" s="35"/>
    </row>
    <row r="507" spans="1:14" s="7" customFormat="1" ht="31.2" x14ac:dyDescent="0.25">
      <c r="A507" s="30" t="s">
        <v>429</v>
      </c>
      <c r="B507" s="51" t="s">
        <v>63</v>
      </c>
      <c r="C507" s="34" t="s">
        <v>48</v>
      </c>
      <c r="D507" s="34" t="s">
        <v>20</v>
      </c>
      <c r="E507" s="41" t="s">
        <v>27</v>
      </c>
      <c r="F507" s="20">
        <f>F508+F517+F524+F535</f>
        <v>476693361.77999997</v>
      </c>
      <c r="G507" s="20">
        <f t="shared" ref="G507:H507" si="341">G508+G517+G524+G535</f>
        <v>457306848.75999999</v>
      </c>
      <c r="H507" s="20">
        <f t="shared" si="341"/>
        <v>100680413.18000001</v>
      </c>
      <c r="I507" s="20">
        <f t="shared" si="304"/>
        <v>356626435.57999998</v>
      </c>
      <c r="J507" s="20">
        <f t="shared" si="307"/>
        <v>21.12</v>
      </c>
      <c r="K507" s="20">
        <f t="shared" si="308"/>
        <v>22.02</v>
      </c>
      <c r="L507" s="20"/>
      <c r="M507" s="35"/>
      <c r="N507" s="35"/>
    </row>
    <row r="508" spans="1:14" s="7" customFormat="1" ht="31.2" x14ac:dyDescent="0.25">
      <c r="A508" s="62" t="s">
        <v>280</v>
      </c>
      <c r="B508" s="34" t="s">
        <v>63</v>
      </c>
      <c r="C508" s="34" t="s">
        <v>48</v>
      </c>
      <c r="D508" s="34" t="s">
        <v>277</v>
      </c>
      <c r="E508" s="41" t="s">
        <v>27</v>
      </c>
      <c r="F508" s="20">
        <f>F509+F511+F513+F515</f>
        <v>427907480.74000001</v>
      </c>
      <c r="G508" s="20">
        <f t="shared" ref="G508:H508" si="342">G509+G511+G513+G515</f>
        <v>430230895.72000003</v>
      </c>
      <c r="H508" s="20">
        <f t="shared" si="342"/>
        <v>95518135.180000007</v>
      </c>
      <c r="I508" s="20">
        <f t="shared" si="304"/>
        <v>334712760.54000002</v>
      </c>
      <c r="J508" s="20">
        <f t="shared" si="307"/>
        <v>22.32</v>
      </c>
      <c r="K508" s="20">
        <f t="shared" si="308"/>
        <v>22.2</v>
      </c>
      <c r="L508" s="20"/>
      <c r="M508" s="35"/>
      <c r="N508" s="35"/>
    </row>
    <row r="509" spans="1:14" s="7" customFormat="1" ht="156" x14ac:dyDescent="0.25">
      <c r="A509" s="43" t="s">
        <v>260</v>
      </c>
      <c r="B509" s="51" t="s">
        <v>63</v>
      </c>
      <c r="C509" s="34" t="s">
        <v>48</v>
      </c>
      <c r="D509" s="34" t="s">
        <v>224</v>
      </c>
      <c r="E509" s="41" t="s">
        <v>27</v>
      </c>
      <c r="F509" s="24">
        <f>F510</f>
        <v>22464000</v>
      </c>
      <c r="G509" s="24">
        <f t="shared" ref="G509:H509" si="343">G510</f>
        <v>0</v>
      </c>
      <c r="H509" s="24">
        <f t="shared" si="343"/>
        <v>0</v>
      </c>
      <c r="I509" s="24">
        <f t="shared" si="304"/>
        <v>0</v>
      </c>
      <c r="J509" s="24">
        <f t="shared" si="307"/>
        <v>0</v>
      </c>
      <c r="K509" s="24" t="s">
        <v>668</v>
      </c>
      <c r="L509" s="24"/>
      <c r="M509" s="35"/>
      <c r="N509" s="35"/>
    </row>
    <row r="510" spans="1:14" s="7" customFormat="1" ht="15.6" x14ac:dyDescent="0.25">
      <c r="A510" s="30" t="s">
        <v>138</v>
      </c>
      <c r="B510" s="51" t="s">
        <v>63</v>
      </c>
      <c r="C510" s="34" t="s">
        <v>48</v>
      </c>
      <c r="D510" s="34" t="s">
        <v>224</v>
      </c>
      <c r="E510" s="41" t="s">
        <v>139</v>
      </c>
      <c r="F510" s="15">
        <f>22464000</f>
        <v>22464000</v>
      </c>
      <c r="G510" s="15">
        <f t="shared" ref="G510:H510" si="344">22464000-22464000</f>
        <v>0</v>
      </c>
      <c r="H510" s="15">
        <f t="shared" si="344"/>
        <v>0</v>
      </c>
      <c r="I510" s="15">
        <f t="shared" si="304"/>
        <v>0</v>
      </c>
      <c r="J510" s="15">
        <f t="shared" si="307"/>
        <v>0</v>
      </c>
      <c r="K510" s="15" t="s">
        <v>668</v>
      </c>
      <c r="L510" s="15"/>
      <c r="M510" s="35"/>
      <c r="N510" s="35"/>
    </row>
    <row r="511" spans="1:14" s="7" customFormat="1" ht="46.8" x14ac:dyDescent="0.25">
      <c r="A511" s="30" t="s">
        <v>119</v>
      </c>
      <c r="B511" s="51" t="s">
        <v>63</v>
      </c>
      <c r="C511" s="34" t="s">
        <v>48</v>
      </c>
      <c r="D511" s="34" t="s">
        <v>214</v>
      </c>
      <c r="E511" s="41" t="s">
        <v>27</v>
      </c>
      <c r="F511" s="24">
        <f>F512</f>
        <v>128367390.78</v>
      </c>
      <c r="G511" s="24">
        <f t="shared" ref="G511:H511" si="345">G512</f>
        <v>159378152.78</v>
      </c>
      <c r="H511" s="24">
        <f t="shared" si="345"/>
        <v>35910908.479999997</v>
      </c>
      <c r="I511" s="24">
        <f t="shared" si="304"/>
        <v>123467244.3</v>
      </c>
      <c r="J511" s="24">
        <f t="shared" si="307"/>
        <v>27.98</v>
      </c>
      <c r="K511" s="24">
        <f t="shared" si="308"/>
        <v>22.53</v>
      </c>
      <c r="L511" s="24"/>
      <c r="M511" s="35"/>
      <c r="N511" s="35"/>
    </row>
    <row r="512" spans="1:14" s="7" customFormat="1" ht="15.6" x14ac:dyDescent="0.25">
      <c r="A512" s="30" t="s">
        <v>138</v>
      </c>
      <c r="B512" s="34" t="s">
        <v>63</v>
      </c>
      <c r="C512" s="34" t="s">
        <v>48</v>
      </c>
      <c r="D512" s="34" t="s">
        <v>214</v>
      </c>
      <c r="E512" s="41" t="s">
        <v>139</v>
      </c>
      <c r="F512" s="24">
        <f>128367390.78</f>
        <v>128367390.78</v>
      </c>
      <c r="G512" s="24">
        <f t="shared" ref="G512" si="346">128367390.78+31010762</f>
        <v>159378152.78</v>
      </c>
      <c r="H512" s="24">
        <v>35910908.479999997</v>
      </c>
      <c r="I512" s="24">
        <f t="shared" si="304"/>
        <v>123467244.3</v>
      </c>
      <c r="J512" s="24">
        <f t="shared" si="307"/>
        <v>27.98</v>
      </c>
      <c r="K512" s="24">
        <f t="shared" si="308"/>
        <v>22.53</v>
      </c>
      <c r="L512" s="24"/>
      <c r="M512" s="35"/>
      <c r="N512" s="35"/>
    </row>
    <row r="513" spans="1:14" s="7" customFormat="1" ht="93.6" x14ac:dyDescent="0.25">
      <c r="A513" s="30" t="s">
        <v>123</v>
      </c>
      <c r="B513" s="34" t="s">
        <v>63</v>
      </c>
      <c r="C513" s="34" t="s">
        <v>48</v>
      </c>
      <c r="D513" s="34" t="s">
        <v>215</v>
      </c>
      <c r="E513" s="41" t="s">
        <v>27</v>
      </c>
      <c r="F513" s="24">
        <f>F514</f>
        <v>1969696.96</v>
      </c>
      <c r="G513" s="24">
        <f t="shared" ref="G513:H513" si="347">G514</f>
        <v>6151768.9400000004</v>
      </c>
      <c r="H513" s="24">
        <f t="shared" si="347"/>
        <v>245187.7</v>
      </c>
      <c r="I513" s="24">
        <f t="shared" si="304"/>
        <v>5906581.2400000002</v>
      </c>
      <c r="J513" s="24">
        <f t="shared" si="307"/>
        <v>12.45</v>
      </c>
      <c r="K513" s="24">
        <f t="shared" si="308"/>
        <v>3.99</v>
      </c>
      <c r="L513" s="24"/>
      <c r="M513" s="35"/>
      <c r="N513" s="35"/>
    </row>
    <row r="514" spans="1:14" s="7" customFormat="1" ht="15.6" x14ac:dyDescent="0.25">
      <c r="A514" s="30" t="s">
        <v>138</v>
      </c>
      <c r="B514" s="34" t="s">
        <v>63</v>
      </c>
      <c r="C514" s="34" t="s">
        <v>48</v>
      </c>
      <c r="D514" s="34" t="s">
        <v>215</v>
      </c>
      <c r="E514" s="41" t="s">
        <v>139</v>
      </c>
      <c r="F514" s="24">
        <f>1969696.96</f>
        <v>1969696.96</v>
      </c>
      <c r="G514" s="24">
        <f t="shared" ref="G514" si="348">1969696.96+4182071.98</f>
        <v>6151768.9400000004</v>
      </c>
      <c r="H514" s="24">
        <v>245187.7</v>
      </c>
      <c r="I514" s="24">
        <f t="shared" si="304"/>
        <v>5906581.2400000002</v>
      </c>
      <c r="J514" s="24">
        <f t="shared" si="307"/>
        <v>12.45</v>
      </c>
      <c r="K514" s="24">
        <f t="shared" si="308"/>
        <v>3.99</v>
      </c>
      <c r="L514" s="24"/>
      <c r="M514" s="35"/>
      <c r="N514" s="35"/>
    </row>
    <row r="515" spans="1:14" s="7" customFormat="1" ht="109.2" x14ac:dyDescent="0.3">
      <c r="A515" s="75" t="s">
        <v>247</v>
      </c>
      <c r="B515" s="34" t="s">
        <v>63</v>
      </c>
      <c r="C515" s="34" t="s">
        <v>48</v>
      </c>
      <c r="D515" s="34" t="s">
        <v>216</v>
      </c>
      <c r="E515" s="41" t="s">
        <v>27</v>
      </c>
      <c r="F515" s="20">
        <f>F516</f>
        <v>275106393</v>
      </c>
      <c r="G515" s="20">
        <f t="shared" ref="G515:H515" si="349">G516</f>
        <v>264700974</v>
      </c>
      <c r="H515" s="20">
        <f t="shared" si="349"/>
        <v>59362039</v>
      </c>
      <c r="I515" s="20">
        <f t="shared" si="304"/>
        <v>205338935</v>
      </c>
      <c r="J515" s="20">
        <f t="shared" si="307"/>
        <v>21.58</v>
      </c>
      <c r="K515" s="20">
        <f t="shared" si="308"/>
        <v>22.43</v>
      </c>
      <c r="L515" s="20"/>
      <c r="M515" s="35"/>
      <c r="N515" s="35"/>
    </row>
    <row r="516" spans="1:14" s="7" customFormat="1" ht="15.6" x14ac:dyDescent="0.25">
      <c r="A516" s="30" t="s">
        <v>138</v>
      </c>
      <c r="B516" s="34" t="s">
        <v>63</v>
      </c>
      <c r="C516" s="34" t="s">
        <v>48</v>
      </c>
      <c r="D516" s="34" t="s">
        <v>216</v>
      </c>
      <c r="E516" s="41" t="s">
        <v>139</v>
      </c>
      <c r="F516" s="23">
        <f>275106393</f>
        <v>275106393</v>
      </c>
      <c r="G516" s="23">
        <f t="shared" ref="G516" si="350">275106393-10405419</f>
        <v>264700974</v>
      </c>
      <c r="H516" s="23">
        <v>59362039</v>
      </c>
      <c r="I516" s="23">
        <f t="shared" si="304"/>
        <v>205338935</v>
      </c>
      <c r="J516" s="23">
        <f t="shared" si="307"/>
        <v>21.58</v>
      </c>
      <c r="K516" s="23">
        <f t="shared" si="308"/>
        <v>22.43</v>
      </c>
      <c r="L516" s="23"/>
      <c r="M516" s="35"/>
      <c r="N516" s="35"/>
    </row>
    <row r="517" spans="1:14" s="7" customFormat="1" ht="31.2" x14ac:dyDescent="0.3">
      <c r="A517" s="74" t="s">
        <v>279</v>
      </c>
      <c r="B517" s="34" t="s">
        <v>63</v>
      </c>
      <c r="C517" s="34" t="s">
        <v>48</v>
      </c>
      <c r="D517" s="34" t="s">
        <v>278</v>
      </c>
      <c r="E517" s="41" t="s">
        <v>27</v>
      </c>
      <c r="F517" s="20">
        <f>F518+F520+F522</f>
        <v>23254300</v>
      </c>
      <c r="G517" s="20">
        <f t="shared" ref="G517:H517" si="351">G518+G520+G522</f>
        <v>24045650</v>
      </c>
      <c r="H517" s="20">
        <f t="shared" si="351"/>
        <v>5162278</v>
      </c>
      <c r="I517" s="20">
        <f t="shared" si="304"/>
        <v>18883372</v>
      </c>
      <c r="J517" s="20">
        <f t="shared" si="307"/>
        <v>22.2</v>
      </c>
      <c r="K517" s="20">
        <f t="shared" si="308"/>
        <v>21.47</v>
      </c>
      <c r="L517" s="20"/>
      <c r="M517" s="35"/>
      <c r="N517" s="35"/>
    </row>
    <row r="518" spans="1:14" s="7" customFormat="1" ht="31.2" x14ac:dyDescent="0.25">
      <c r="A518" s="30" t="s">
        <v>284</v>
      </c>
      <c r="B518" s="34" t="s">
        <v>63</v>
      </c>
      <c r="C518" s="34" t="s">
        <v>48</v>
      </c>
      <c r="D518" s="36" t="s">
        <v>283</v>
      </c>
      <c r="E518" s="41" t="s">
        <v>27</v>
      </c>
      <c r="F518" s="20">
        <f>F519</f>
        <v>1033600</v>
      </c>
      <c r="G518" s="20">
        <f t="shared" ref="G518:H518" si="352">G519</f>
        <v>1033600</v>
      </c>
      <c r="H518" s="20">
        <f t="shared" si="352"/>
        <v>202115</v>
      </c>
      <c r="I518" s="20">
        <f t="shared" si="304"/>
        <v>831485</v>
      </c>
      <c r="J518" s="20">
        <f t="shared" si="307"/>
        <v>19.55</v>
      </c>
      <c r="K518" s="20">
        <f t="shared" si="308"/>
        <v>19.55</v>
      </c>
      <c r="L518" s="20"/>
      <c r="M518" s="35"/>
      <c r="N518" s="35"/>
    </row>
    <row r="519" spans="1:14" s="7" customFormat="1" ht="15.6" x14ac:dyDescent="0.25">
      <c r="A519" s="30" t="s">
        <v>138</v>
      </c>
      <c r="B519" s="34" t="s">
        <v>63</v>
      </c>
      <c r="C519" s="34" t="s">
        <v>48</v>
      </c>
      <c r="D519" s="36" t="s">
        <v>283</v>
      </c>
      <c r="E519" s="41" t="s">
        <v>139</v>
      </c>
      <c r="F519" s="15">
        <v>1033600</v>
      </c>
      <c r="G519" s="15">
        <v>1033600</v>
      </c>
      <c r="H519" s="15">
        <v>202115</v>
      </c>
      <c r="I519" s="15">
        <f t="shared" si="304"/>
        <v>831485</v>
      </c>
      <c r="J519" s="15">
        <f t="shared" si="307"/>
        <v>19.55</v>
      </c>
      <c r="K519" s="15">
        <f t="shared" si="308"/>
        <v>19.55</v>
      </c>
      <c r="L519" s="15"/>
      <c r="M519" s="35"/>
      <c r="N519" s="35"/>
    </row>
    <row r="520" spans="1:14" s="7" customFormat="1" ht="62.4" x14ac:dyDescent="0.25">
      <c r="A520" s="30" t="s">
        <v>250</v>
      </c>
      <c r="B520" s="34" t="s">
        <v>63</v>
      </c>
      <c r="C520" s="34" t="s">
        <v>48</v>
      </c>
      <c r="D520" s="36" t="s">
        <v>281</v>
      </c>
      <c r="E520" s="41" t="s">
        <v>27</v>
      </c>
      <c r="F520" s="20">
        <f>F521</f>
        <v>7281950</v>
      </c>
      <c r="G520" s="20">
        <f t="shared" ref="G520:H520" si="353">G521</f>
        <v>7281950</v>
      </c>
      <c r="H520" s="20">
        <f t="shared" si="353"/>
        <v>1822123</v>
      </c>
      <c r="I520" s="20">
        <f t="shared" si="304"/>
        <v>5459827</v>
      </c>
      <c r="J520" s="20">
        <f t="shared" si="307"/>
        <v>25.02</v>
      </c>
      <c r="K520" s="20">
        <f t="shared" si="308"/>
        <v>25.02</v>
      </c>
      <c r="L520" s="20"/>
      <c r="M520" s="35"/>
      <c r="N520" s="35"/>
    </row>
    <row r="521" spans="1:14" s="7" customFormat="1" ht="15.6" x14ac:dyDescent="0.25">
      <c r="A521" s="30" t="s">
        <v>138</v>
      </c>
      <c r="B521" s="34" t="s">
        <v>63</v>
      </c>
      <c r="C521" s="34" t="s">
        <v>48</v>
      </c>
      <c r="D521" s="36" t="s">
        <v>281</v>
      </c>
      <c r="E521" s="47" t="s">
        <v>139</v>
      </c>
      <c r="F521" s="15">
        <v>7281950</v>
      </c>
      <c r="G521" s="15">
        <v>7281950</v>
      </c>
      <c r="H521" s="15">
        <v>1822123</v>
      </c>
      <c r="I521" s="15">
        <f t="shared" si="304"/>
        <v>5459827</v>
      </c>
      <c r="J521" s="15">
        <f t="shared" si="307"/>
        <v>25.02</v>
      </c>
      <c r="K521" s="15">
        <f t="shared" si="308"/>
        <v>25.02</v>
      </c>
      <c r="L521" s="15"/>
      <c r="M521" s="35"/>
      <c r="N521" s="35"/>
    </row>
    <row r="522" spans="1:14" s="7" customFormat="1" ht="78" x14ac:dyDescent="0.25">
      <c r="A522" s="43" t="s">
        <v>252</v>
      </c>
      <c r="B522" s="34" t="s">
        <v>63</v>
      </c>
      <c r="C522" s="34" t="s">
        <v>48</v>
      </c>
      <c r="D522" s="36" t="s">
        <v>282</v>
      </c>
      <c r="E522" s="41" t="s">
        <v>27</v>
      </c>
      <c r="F522" s="20">
        <f>F523</f>
        <v>14938750</v>
      </c>
      <c r="G522" s="20">
        <f t="shared" ref="G522:H522" si="354">G523</f>
        <v>15730100</v>
      </c>
      <c r="H522" s="20">
        <f t="shared" si="354"/>
        <v>3138040</v>
      </c>
      <c r="I522" s="20">
        <f t="shared" si="304"/>
        <v>12592060</v>
      </c>
      <c r="J522" s="20">
        <f t="shared" si="307"/>
        <v>21.01</v>
      </c>
      <c r="K522" s="20">
        <f t="shared" si="308"/>
        <v>19.95</v>
      </c>
      <c r="L522" s="20"/>
      <c r="M522" s="35"/>
      <c r="N522" s="35"/>
    </row>
    <row r="523" spans="1:14" s="7" customFormat="1" ht="15.6" x14ac:dyDescent="0.25">
      <c r="A523" s="30" t="s">
        <v>138</v>
      </c>
      <c r="B523" s="34" t="s">
        <v>63</v>
      </c>
      <c r="C523" s="34" t="s">
        <v>48</v>
      </c>
      <c r="D523" s="36" t="s">
        <v>282</v>
      </c>
      <c r="E523" s="41" t="s">
        <v>139</v>
      </c>
      <c r="F523" s="23">
        <f>14938750</f>
        <v>14938750</v>
      </c>
      <c r="G523" s="23">
        <f t="shared" ref="G523" si="355">14938750+791350</f>
        <v>15730100</v>
      </c>
      <c r="H523" s="23">
        <v>3138040</v>
      </c>
      <c r="I523" s="23">
        <f t="shared" si="304"/>
        <v>12592060</v>
      </c>
      <c r="J523" s="23">
        <f t="shared" si="307"/>
        <v>21.01</v>
      </c>
      <c r="K523" s="23">
        <f t="shared" si="308"/>
        <v>19.95</v>
      </c>
      <c r="L523" s="23"/>
      <c r="M523" s="35"/>
      <c r="N523" s="35"/>
    </row>
    <row r="524" spans="1:14" s="7" customFormat="1" ht="78" x14ac:dyDescent="0.25">
      <c r="A524" s="30" t="s">
        <v>285</v>
      </c>
      <c r="B524" s="34" t="s">
        <v>63</v>
      </c>
      <c r="C524" s="34" t="s">
        <v>48</v>
      </c>
      <c r="D524" s="34" t="s">
        <v>286</v>
      </c>
      <c r="E524" s="41" t="s">
        <v>27</v>
      </c>
      <c r="F524" s="20">
        <f>F525+F527+F529+F531+F533</f>
        <v>11297686.300000001</v>
      </c>
      <c r="G524" s="20">
        <f t="shared" ref="G524:H524" si="356">G525+G527+G529+G531+G533</f>
        <v>3030303.04</v>
      </c>
      <c r="H524" s="20">
        <f t="shared" si="356"/>
        <v>0</v>
      </c>
      <c r="I524" s="20">
        <f t="shared" si="304"/>
        <v>3030303.04</v>
      </c>
      <c r="J524" s="20">
        <f t="shared" si="307"/>
        <v>0</v>
      </c>
      <c r="K524" s="20">
        <f t="shared" si="308"/>
        <v>0</v>
      </c>
      <c r="L524" s="20"/>
      <c r="M524" s="35"/>
      <c r="N524" s="35"/>
    </row>
    <row r="525" spans="1:14" s="7" customFormat="1" ht="62.4" x14ac:dyDescent="0.25">
      <c r="A525" s="43" t="s">
        <v>637</v>
      </c>
      <c r="B525" s="51" t="s">
        <v>63</v>
      </c>
      <c r="C525" s="34" t="s">
        <v>48</v>
      </c>
      <c r="D525" s="16" t="s">
        <v>459</v>
      </c>
      <c r="E525" s="41" t="s">
        <v>27</v>
      </c>
      <c r="F525" s="20">
        <f>F526</f>
        <v>0</v>
      </c>
      <c r="G525" s="20">
        <f t="shared" ref="G525:H525" si="357">G526</f>
        <v>1500000</v>
      </c>
      <c r="H525" s="20">
        <f t="shared" si="357"/>
        <v>0</v>
      </c>
      <c r="I525" s="20">
        <f t="shared" si="304"/>
        <v>1500000</v>
      </c>
      <c r="J525" s="20" t="s">
        <v>668</v>
      </c>
      <c r="K525" s="20">
        <f t="shared" si="308"/>
        <v>0</v>
      </c>
      <c r="L525" s="20"/>
      <c r="M525" s="35"/>
      <c r="N525" s="35"/>
    </row>
    <row r="526" spans="1:14" s="7" customFormat="1" ht="15.6" x14ac:dyDescent="0.25">
      <c r="A526" s="30" t="s">
        <v>138</v>
      </c>
      <c r="B526" s="51" t="s">
        <v>63</v>
      </c>
      <c r="C526" s="34" t="s">
        <v>48</v>
      </c>
      <c r="D526" s="16" t="s">
        <v>459</v>
      </c>
      <c r="E526" s="41" t="s">
        <v>139</v>
      </c>
      <c r="F526" s="20">
        <v>0</v>
      </c>
      <c r="G526" s="20">
        <f t="shared" ref="G526" si="358">0+1500000</f>
        <v>1500000</v>
      </c>
      <c r="H526" s="20">
        <v>0</v>
      </c>
      <c r="I526" s="20">
        <f t="shared" ref="I526:I589" si="359">$G526-$H526</f>
        <v>1500000</v>
      </c>
      <c r="J526" s="20" t="s">
        <v>668</v>
      </c>
      <c r="K526" s="20">
        <f t="shared" ref="K526:K589" si="360">$H526/$G526*100</f>
        <v>0</v>
      </c>
      <c r="L526" s="20"/>
      <c r="M526" s="35"/>
      <c r="N526" s="35"/>
    </row>
    <row r="527" spans="1:14" s="7" customFormat="1" ht="78" x14ac:dyDescent="0.25">
      <c r="A527" s="43" t="s">
        <v>639</v>
      </c>
      <c r="B527" s="51" t="s">
        <v>63</v>
      </c>
      <c r="C527" s="34" t="s">
        <v>48</v>
      </c>
      <c r="D527" s="16" t="s">
        <v>459</v>
      </c>
      <c r="E527" s="41" t="s">
        <v>27</v>
      </c>
      <c r="F527" s="20">
        <f>F528</f>
        <v>15151.52</v>
      </c>
      <c r="G527" s="20">
        <f t="shared" ref="G527:H527" si="361">G528</f>
        <v>15151.52</v>
      </c>
      <c r="H527" s="20">
        <f t="shared" si="361"/>
        <v>0</v>
      </c>
      <c r="I527" s="20">
        <f t="shared" si="359"/>
        <v>15151.52</v>
      </c>
      <c r="J527" s="20">
        <f t="shared" ref="J527:J589" si="362">$H527/$F527*100</f>
        <v>0</v>
      </c>
      <c r="K527" s="20">
        <f t="shared" si="360"/>
        <v>0</v>
      </c>
      <c r="L527" s="20"/>
      <c r="M527" s="35"/>
      <c r="N527" s="35"/>
    </row>
    <row r="528" spans="1:14" s="7" customFormat="1" ht="15.6" x14ac:dyDescent="0.25">
      <c r="A528" s="30" t="s">
        <v>138</v>
      </c>
      <c r="B528" s="51" t="s">
        <v>63</v>
      </c>
      <c r="C528" s="34" t="s">
        <v>48</v>
      </c>
      <c r="D528" s="16" t="s">
        <v>459</v>
      </c>
      <c r="E528" s="41" t="s">
        <v>139</v>
      </c>
      <c r="F528" s="24">
        <v>15151.52</v>
      </c>
      <c r="G528" s="24">
        <v>15151.52</v>
      </c>
      <c r="H528" s="24">
        <v>0</v>
      </c>
      <c r="I528" s="24">
        <f t="shared" si="359"/>
        <v>15151.52</v>
      </c>
      <c r="J528" s="24">
        <f t="shared" si="362"/>
        <v>0</v>
      </c>
      <c r="K528" s="24">
        <f t="shared" si="360"/>
        <v>0</v>
      </c>
      <c r="L528" s="24"/>
      <c r="M528" s="35"/>
      <c r="N528" s="35"/>
    </row>
    <row r="529" spans="1:14" s="7" customFormat="1" ht="62.4" x14ac:dyDescent="0.25">
      <c r="A529" s="43" t="s">
        <v>638</v>
      </c>
      <c r="B529" s="51" t="s">
        <v>63</v>
      </c>
      <c r="C529" s="34" t="s">
        <v>48</v>
      </c>
      <c r="D529" s="16" t="s">
        <v>460</v>
      </c>
      <c r="E529" s="41" t="s">
        <v>27</v>
      </c>
      <c r="F529" s="20">
        <f>F530</f>
        <v>0</v>
      </c>
      <c r="G529" s="20">
        <f t="shared" ref="G529:H529" si="363">G530</f>
        <v>1500000</v>
      </c>
      <c r="H529" s="20">
        <f t="shared" si="363"/>
        <v>0</v>
      </c>
      <c r="I529" s="20">
        <f t="shared" si="359"/>
        <v>1500000</v>
      </c>
      <c r="J529" s="20" t="s">
        <v>668</v>
      </c>
      <c r="K529" s="20">
        <f t="shared" si="360"/>
        <v>0</v>
      </c>
      <c r="L529" s="20"/>
      <c r="M529" s="35"/>
      <c r="N529" s="35"/>
    </row>
    <row r="530" spans="1:14" s="7" customFormat="1" ht="15.6" x14ac:dyDescent="0.25">
      <c r="A530" s="30" t="s">
        <v>138</v>
      </c>
      <c r="B530" s="51" t="s">
        <v>63</v>
      </c>
      <c r="C530" s="34" t="s">
        <v>48</v>
      </c>
      <c r="D530" s="16" t="s">
        <v>460</v>
      </c>
      <c r="E530" s="41" t="s">
        <v>139</v>
      </c>
      <c r="F530" s="20">
        <v>0</v>
      </c>
      <c r="G530" s="20">
        <f t="shared" ref="G530" si="364">0+1500000</f>
        <v>1500000</v>
      </c>
      <c r="H530" s="20">
        <v>0</v>
      </c>
      <c r="I530" s="20">
        <f t="shared" si="359"/>
        <v>1500000</v>
      </c>
      <c r="J530" s="20" t="s">
        <v>668</v>
      </c>
      <c r="K530" s="20">
        <f t="shared" si="360"/>
        <v>0</v>
      </c>
      <c r="L530" s="20"/>
      <c r="M530" s="35"/>
      <c r="N530" s="35"/>
    </row>
    <row r="531" spans="1:14" s="7" customFormat="1" ht="78" x14ac:dyDescent="0.25">
      <c r="A531" s="43" t="s">
        <v>640</v>
      </c>
      <c r="B531" s="51" t="s">
        <v>63</v>
      </c>
      <c r="C531" s="34" t="s">
        <v>48</v>
      </c>
      <c r="D531" s="16" t="s">
        <v>460</v>
      </c>
      <c r="E531" s="41" t="s">
        <v>27</v>
      </c>
      <c r="F531" s="20">
        <f>F532</f>
        <v>15151.52</v>
      </c>
      <c r="G531" s="20">
        <f t="shared" ref="G531:H531" si="365">G532</f>
        <v>15151.52</v>
      </c>
      <c r="H531" s="20">
        <f t="shared" si="365"/>
        <v>0</v>
      </c>
      <c r="I531" s="20">
        <f t="shared" si="359"/>
        <v>15151.52</v>
      </c>
      <c r="J531" s="20">
        <f t="shared" si="362"/>
        <v>0</v>
      </c>
      <c r="K531" s="20">
        <f t="shared" si="360"/>
        <v>0</v>
      </c>
      <c r="L531" s="20"/>
      <c r="M531" s="35"/>
      <c r="N531" s="35"/>
    </row>
    <row r="532" spans="1:14" s="7" customFormat="1" ht="15.6" x14ac:dyDescent="0.25">
      <c r="A532" s="30" t="s">
        <v>138</v>
      </c>
      <c r="B532" s="51" t="s">
        <v>63</v>
      </c>
      <c r="C532" s="34" t="s">
        <v>48</v>
      </c>
      <c r="D532" s="16" t="s">
        <v>460</v>
      </c>
      <c r="E532" s="41" t="s">
        <v>139</v>
      </c>
      <c r="F532" s="24">
        <v>15151.52</v>
      </c>
      <c r="G532" s="24">
        <v>15151.52</v>
      </c>
      <c r="H532" s="24">
        <v>0</v>
      </c>
      <c r="I532" s="24">
        <f t="shared" si="359"/>
        <v>15151.52</v>
      </c>
      <c r="J532" s="24">
        <f t="shared" si="362"/>
        <v>0</v>
      </c>
      <c r="K532" s="24">
        <f t="shared" si="360"/>
        <v>0</v>
      </c>
      <c r="L532" s="24"/>
      <c r="M532" s="35"/>
      <c r="N532" s="35"/>
    </row>
    <row r="533" spans="1:14" s="7" customFormat="1" ht="62.4" x14ac:dyDescent="0.25">
      <c r="A533" s="30" t="s">
        <v>496</v>
      </c>
      <c r="B533" s="34" t="s">
        <v>63</v>
      </c>
      <c r="C533" s="34" t="s">
        <v>48</v>
      </c>
      <c r="D533" s="34" t="s">
        <v>495</v>
      </c>
      <c r="E533" s="34" t="s">
        <v>27</v>
      </c>
      <c r="F533" s="24">
        <f>F534</f>
        <v>11267383.26</v>
      </c>
      <c r="G533" s="24">
        <f t="shared" ref="G533:H533" si="366">G534</f>
        <v>0</v>
      </c>
      <c r="H533" s="24">
        <f t="shared" si="366"/>
        <v>0</v>
      </c>
      <c r="I533" s="24">
        <f t="shared" si="359"/>
        <v>0</v>
      </c>
      <c r="J533" s="24">
        <f t="shared" si="362"/>
        <v>0</v>
      </c>
      <c r="K533" s="24" t="s">
        <v>668</v>
      </c>
      <c r="L533" s="24"/>
      <c r="M533" s="35"/>
      <c r="N533" s="35"/>
    </row>
    <row r="534" spans="1:14" s="7" customFormat="1" ht="15.6" x14ac:dyDescent="0.25">
      <c r="A534" s="30" t="s">
        <v>138</v>
      </c>
      <c r="B534" s="34" t="s">
        <v>63</v>
      </c>
      <c r="C534" s="34" t="s">
        <v>48</v>
      </c>
      <c r="D534" s="34" t="s">
        <v>495</v>
      </c>
      <c r="E534" s="34" t="s">
        <v>139</v>
      </c>
      <c r="F534" s="24">
        <f>11267383.26</f>
        <v>11267383.26</v>
      </c>
      <c r="G534" s="24">
        <f t="shared" ref="G534:H534" si="367">11267383.26-11267383.26</f>
        <v>0</v>
      </c>
      <c r="H534" s="24">
        <f t="shared" si="367"/>
        <v>0</v>
      </c>
      <c r="I534" s="24">
        <f t="shared" si="359"/>
        <v>0</v>
      </c>
      <c r="J534" s="24">
        <f t="shared" si="362"/>
        <v>0</v>
      </c>
      <c r="K534" s="24" t="s">
        <v>668</v>
      </c>
      <c r="L534" s="24"/>
      <c r="M534" s="35"/>
      <c r="N534" s="35"/>
    </row>
    <row r="535" spans="1:14" s="7" customFormat="1" ht="78" x14ac:dyDescent="0.3">
      <c r="A535" s="74" t="s">
        <v>430</v>
      </c>
      <c r="B535" s="34" t="s">
        <v>63</v>
      </c>
      <c r="C535" s="34" t="s">
        <v>48</v>
      </c>
      <c r="D535" s="34" t="s">
        <v>397</v>
      </c>
      <c r="E535" s="41" t="s">
        <v>27</v>
      </c>
      <c r="F535" s="20">
        <f>F539+F536</f>
        <v>14233894.74</v>
      </c>
      <c r="G535" s="20">
        <f t="shared" ref="G535:H535" si="368">G539+G536</f>
        <v>0</v>
      </c>
      <c r="H535" s="20">
        <f t="shared" si="368"/>
        <v>0</v>
      </c>
      <c r="I535" s="20">
        <f t="shared" si="359"/>
        <v>0</v>
      </c>
      <c r="J535" s="20">
        <f t="shared" si="362"/>
        <v>0</v>
      </c>
      <c r="K535" s="20" t="s">
        <v>668</v>
      </c>
      <c r="L535" s="20"/>
      <c r="M535" s="35"/>
      <c r="N535" s="35"/>
    </row>
    <row r="536" spans="1:14" s="7" customFormat="1" ht="124.8" x14ac:dyDescent="0.25">
      <c r="A536" s="30" t="s">
        <v>470</v>
      </c>
      <c r="B536" s="51" t="s">
        <v>63</v>
      </c>
      <c r="C536" s="34" t="s">
        <v>48</v>
      </c>
      <c r="D536" s="44" t="s">
        <v>399</v>
      </c>
      <c r="E536" s="41" t="s">
        <v>27</v>
      </c>
      <c r="F536" s="24">
        <f>F537</f>
        <v>13522200</v>
      </c>
      <c r="G536" s="24">
        <f t="shared" ref="G536:H536" si="369">G537</f>
        <v>0</v>
      </c>
      <c r="H536" s="24">
        <f t="shared" si="369"/>
        <v>0</v>
      </c>
      <c r="I536" s="24">
        <f t="shared" si="359"/>
        <v>0</v>
      </c>
      <c r="J536" s="24">
        <f t="shared" si="362"/>
        <v>0</v>
      </c>
      <c r="K536" s="24" t="s">
        <v>668</v>
      </c>
      <c r="L536" s="24"/>
      <c r="M536" s="35"/>
      <c r="N536" s="35"/>
    </row>
    <row r="537" spans="1:14" s="7" customFormat="1" ht="15.6" x14ac:dyDescent="0.25">
      <c r="A537" s="30" t="s">
        <v>138</v>
      </c>
      <c r="B537" s="34" t="s">
        <v>63</v>
      </c>
      <c r="C537" s="34" t="s">
        <v>48</v>
      </c>
      <c r="D537" s="44" t="s">
        <v>399</v>
      </c>
      <c r="E537" s="41" t="s">
        <v>139</v>
      </c>
      <c r="F537" s="24">
        <f>13522200</f>
        <v>13522200</v>
      </c>
      <c r="G537" s="24">
        <f t="shared" ref="G537:H537" si="370">13522200-13522200</f>
        <v>0</v>
      </c>
      <c r="H537" s="24">
        <f t="shared" si="370"/>
        <v>0</v>
      </c>
      <c r="I537" s="24">
        <f t="shared" si="359"/>
        <v>0</v>
      </c>
      <c r="J537" s="24">
        <f t="shared" si="362"/>
        <v>0</v>
      </c>
      <c r="K537" s="24" t="s">
        <v>668</v>
      </c>
      <c r="L537" s="24"/>
      <c r="M537" s="35"/>
      <c r="N537" s="35"/>
    </row>
    <row r="538" spans="1:14" s="7" customFormat="1" ht="93.6" x14ac:dyDescent="0.25">
      <c r="A538" s="30" t="s">
        <v>398</v>
      </c>
      <c r="B538" s="51" t="s">
        <v>63</v>
      </c>
      <c r="C538" s="34" t="s">
        <v>48</v>
      </c>
      <c r="D538" s="44" t="s">
        <v>399</v>
      </c>
      <c r="E538" s="41" t="s">
        <v>27</v>
      </c>
      <c r="F538" s="24">
        <f>F539</f>
        <v>711694.74</v>
      </c>
      <c r="G538" s="24">
        <f t="shared" ref="G538:H538" si="371">G539</f>
        <v>0</v>
      </c>
      <c r="H538" s="24">
        <f t="shared" si="371"/>
        <v>0</v>
      </c>
      <c r="I538" s="24">
        <f t="shared" si="359"/>
        <v>0</v>
      </c>
      <c r="J538" s="24">
        <f t="shared" si="362"/>
        <v>0</v>
      </c>
      <c r="K538" s="24" t="s">
        <v>668</v>
      </c>
      <c r="L538" s="24"/>
      <c r="M538" s="35"/>
      <c r="N538" s="35"/>
    </row>
    <row r="539" spans="1:14" s="7" customFormat="1" ht="15.6" x14ac:dyDescent="0.25">
      <c r="A539" s="30" t="s">
        <v>138</v>
      </c>
      <c r="B539" s="34" t="s">
        <v>63</v>
      </c>
      <c r="C539" s="34" t="s">
        <v>48</v>
      </c>
      <c r="D539" s="44" t="s">
        <v>399</v>
      </c>
      <c r="E539" s="41" t="s">
        <v>139</v>
      </c>
      <c r="F539" s="24">
        <f>711694.74</f>
        <v>711694.74</v>
      </c>
      <c r="G539" s="24">
        <f t="shared" ref="G539:H539" si="372">711694.74-711694.74</f>
        <v>0</v>
      </c>
      <c r="H539" s="24">
        <f t="shared" si="372"/>
        <v>0</v>
      </c>
      <c r="I539" s="24">
        <f t="shared" si="359"/>
        <v>0</v>
      </c>
      <c r="J539" s="24">
        <f t="shared" si="362"/>
        <v>0</v>
      </c>
      <c r="K539" s="24" t="s">
        <v>668</v>
      </c>
      <c r="L539" s="24"/>
      <c r="M539" s="35"/>
      <c r="N539" s="35"/>
    </row>
    <row r="540" spans="1:14" s="7" customFormat="1" ht="15.6" x14ac:dyDescent="0.3">
      <c r="A540" s="66" t="s">
        <v>641</v>
      </c>
      <c r="B540" s="47" t="s">
        <v>63</v>
      </c>
      <c r="C540" s="44" t="s">
        <v>48</v>
      </c>
      <c r="D540" s="44" t="s">
        <v>177</v>
      </c>
      <c r="E540" s="44" t="s">
        <v>27</v>
      </c>
      <c r="F540" s="24">
        <f>F541</f>
        <v>2141956.7999999998</v>
      </c>
      <c r="G540" s="24">
        <f t="shared" ref="G540:H540" si="373">G541</f>
        <v>31837359.960000001</v>
      </c>
      <c r="H540" s="24">
        <f t="shared" si="373"/>
        <v>7653832.6600000001</v>
      </c>
      <c r="I540" s="24">
        <f t="shared" si="359"/>
        <v>24183527.300000001</v>
      </c>
      <c r="J540" s="24">
        <f t="shared" si="362"/>
        <v>357.33</v>
      </c>
      <c r="K540" s="24">
        <f t="shared" si="360"/>
        <v>24.04</v>
      </c>
      <c r="L540" s="24"/>
      <c r="M540" s="35"/>
      <c r="N540" s="35"/>
    </row>
    <row r="541" spans="1:14" s="7" customFormat="1" ht="15.6" x14ac:dyDescent="0.25">
      <c r="A541" s="43" t="s">
        <v>642</v>
      </c>
      <c r="B541" s="41" t="s">
        <v>63</v>
      </c>
      <c r="C541" s="41" t="s">
        <v>48</v>
      </c>
      <c r="D541" s="76" t="s">
        <v>643</v>
      </c>
      <c r="E541" s="41" t="s">
        <v>27</v>
      </c>
      <c r="F541" s="20">
        <f>F544+F546+F542</f>
        <v>2141956.7999999998</v>
      </c>
      <c r="G541" s="20">
        <f t="shared" ref="G541:H541" si="374">G544+G546+G542</f>
        <v>31837359.960000001</v>
      </c>
      <c r="H541" s="20">
        <f t="shared" si="374"/>
        <v>7653832.6600000001</v>
      </c>
      <c r="I541" s="20">
        <f t="shared" si="359"/>
        <v>24183527.300000001</v>
      </c>
      <c r="J541" s="20">
        <f t="shared" si="362"/>
        <v>357.33</v>
      </c>
      <c r="K541" s="20">
        <f t="shared" si="360"/>
        <v>24.04</v>
      </c>
      <c r="L541" s="20"/>
      <c r="M541" s="35"/>
      <c r="N541" s="35"/>
    </row>
    <row r="542" spans="1:14" s="7" customFormat="1" ht="187.2" x14ac:dyDescent="0.3">
      <c r="A542" s="66" t="s">
        <v>647</v>
      </c>
      <c r="B542" s="41" t="s">
        <v>63</v>
      </c>
      <c r="C542" s="34" t="s">
        <v>48</v>
      </c>
      <c r="D542" s="37" t="s">
        <v>646</v>
      </c>
      <c r="E542" s="34" t="s">
        <v>27</v>
      </c>
      <c r="F542" s="20">
        <f>F543</f>
        <v>0</v>
      </c>
      <c r="G542" s="20">
        <f t="shared" ref="G542:H542" si="375">G543</f>
        <v>1054620</v>
      </c>
      <c r="H542" s="20">
        <f t="shared" si="375"/>
        <v>246670</v>
      </c>
      <c r="I542" s="20">
        <f t="shared" si="359"/>
        <v>807950</v>
      </c>
      <c r="J542" s="20" t="s">
        <v>668</v>
      </c>
      <c r="K542" s="20">
        <f t="shared" si="360"/>
        <v>23.39</v>
      </c>
      <c r="L542" s="20"/>
      <c r="M542" s="35"/>
      <c r="N542" s="35"/>
    </row>
    <row r="543" spans="1:14" s="7" customFormat="1" ht="15.6" x14ac:dyDescent="0.25">
      <c r="A543" s="30" t="s">
        <v>138</v>
      </c>
      <c r="B543" s="41" t="s">
        <v>63</v>
      </c>
      <c r="C543" s="34" t="s">
        <v>48</v>
      </c>
      <c r="D543" s="37" t="s">
        <v>646</v>
      </c>
      <c r="E543" s="34" t="s">
        <v>139</v>
      </c>
      <c r="F543" s="15">
        <v>0</v>
      </c>
      <c r="G543" s="15">
        <f t="shared" ref="G543" si="376">0+1054620</f>
        <v>1054620</v>
      </c>
      <c r="H543" s="15">
        <v>246670</v>
      </c>
      <c r="I543" s="15">
        <f t="shared" si="359"/>
        <v>807950</v>
      </c>
      <c r="J543" s="15" t="s">
        <v>668</v>
      </c>
      <c r="K543" s="15">
        <f t="shared" si="360"/>
        <v>23.39</v>
      </c>
      <c r="L543" s="15"/>
      <c r="M543" s="35"/>
      <c r="N543" s="35"/>
    </row>
    <row r="544" spans="1:14" s="7" customFormat="1" ht="66.599999999999994" customHeight="1" x14ac:dyDescent="0.3">
      <c r="A544" s="66" t="s">
        <v>259</v>
      </c>
      <c r="B544" s="41" t="s">
        <v>63</v>
      </c>
      <c r="C544" s="34" t="s">
        <v>48</v>
      </c>
      <c r="D544" s="37" t="s">
        <v>644</v>
      </c>
      <c r="E544" s="34" t="s">
        <v>27</v>
      </c>
      <c r="F544" s="20">
        <f>F545</f>
        <v>2141956.7999999998</v>
      </c>
      <c r="G544" s="20">
        <f t="shared" ref="G544:H544" si="377">G545</f>
        <v>2234739.96</v>
      </c>
      <c r="H544" s="20">
        <f t="shared" si="377"/>
        <v>552132.66</v>
      </c>
      <c r="I544" s="20">
        <f t="shared" si="359"/>
        <v>1682607.3</v>
      </c>
      <c r="J544" s="20">
        <f t="shared" si="362"/>
        <v>25.78</v>
      </c>
      <c r="K544" s="20">
        <f t="shared" si="360"/>
        <v>24.71</v>
      </c>
      <c r="L544" s="20"/>
      <c r="M544" s="35"/>
      <c r="N544" s="35"/>
    </row>
    <row r="545" spans="1:14" s="7" customFormat="1" ht="15.6" x14ac:dyDescent="0.25">
      <c r="A545" s="30" t="s">
        <v>138</v>
      </c>
      <c r="B545" s="41" t="s">
        <v>63</v>
      </c>
      <c r="C545" s="34" t="s">
        <v>48</v>
      </c>
      <c r="D545" s="37" t="s">
        <v>644</v>
      </c>
      <c r="E545" s="34" t="s">
        <v>139</v>
      </c>
      <c r="F545" s="15">
        <f>2141956.8</f>
        <v>2141956.7999999998</v>
      </c>
      <c r="G545" s="15">
        <f t="shared" ref="G545" si="378">2141956.8+92783.16</f>
        <v>2234739.96</v>
      </c>
      <c r="H545" s="15">
        <v>552132.66</v>
      </c>
      <c r="I545" s="15">
        <f t="shared" si="359"/>
        <v>1682607.3</v>
      </c>
      <c r="J545" s="15">
        <f t="shared" si="362"/>
        <v>25.78</v>
      </c>
      <c r="K545" s="15">
        <f t="shared" si="360"/>
        <v>24.71</v>
      </c>
      <c r="L545" s="15"/>
      <c r="M545" s="35"/>
      <c r="N545" s="35"/>
    </row>
    <row r="546" spans="1:14" s="7" customFormat="1" ht="156" x14ac:dyDescent="0.25">
      <c r="A546" s="43" t="s">
        <v>260</v>
      </c>
      <c r="B546" s="51" t="s">
        <v>63</v>
      </c>
      <c r="C546" s="34" t="s">
        <v>48</v>
      </c>
      <c r="D546" s="34" t="s">
        <v>645</v>
      </c>
      <c r="E546" s="41" t="s">
        <v>27</v>
      </c>
      <c r="F546" s="24">
        <f>F547</f>
        <v>0</v>
      </c>
      <c r="G546" s="24">
        <f t="shared" ref="G546:H546" si="379">G547</f>
        <v>28548000</v>
      </c>
      <c r="H546" s="24">
        <f t="shared" si="379"/>
        <v>6855030</v>
      </c>
      <c r="I546" s="24">
        <f t="shared" si="359"/>
        <v>21692970</v>
      </c>
      <c r="J546" s="24" t="s">
        <v>668</v>
      </c>
      <c r="K546" s="24">
        <f t="shared" si="360"/>
        <v>24.01</v>
      </c>
      <c r="L546" s="24"/>
      <c r="M546" s="35"/>
      <c r="N546" s="35"/>
    </row>
    <row r="547" spans="1:14" s="7" customFormat="1" ht="15.6" x14ac:dyDescent="0.25">
      <c r="A547" s="30" t="s">
        <v>138</v>
      </c>
      <c r="B547" s="51" t="s">
        <v>63</v>
      </c>
      <c r="C547" s="34" t="s">
        <v>48</v>
      </c>
      <c r="D547" s="34" t="s">
        <v>645</v>
      </c>
      <c r="E547" s="41" t="s">
        <v>139</v>
      </c>
      <c r="F547" s="15">
        <v>0</v>
      </c>
      <c r="G547" s="15">
        <f t="shared" ref="G547" si="380">22464000+6084000</f>
        <v>28548000</v>
      </c>
      <c r="H547" s="15">
        <v>6855030</v>
      </c>
      <c r="I547" s="15">
        <f t="shared" si="359"/>
        <v>21692970</v>
      </c>
      <c r="J547" s="15" t="s">
        <v>668</v>
      </c>
      <c r="K547" s="15">
        <f t="shared" si="360"/>
        <v>24.01</v>
      </c>
      <c r="L547" s="15"/>
      <c r="M547" s="35"/>
      <c r="N547" s="35"/>
    </row>
    <row r="548" spans="1:14" s="7" customFormat="1" ht="15.6" x14ac:dyDescent="0.3">
      <c r="A548" s="66" t="s">
        <v>294</v>
      </c>
      <c r="B548" s="16">
        <v>995</v>
      </c>
      <c r="C548" s="44" t="s">
        <v>223</v>
      </c>
      <c r="D548" s="44" t="s">
        <v>154</v>
      </c>
      <c r="E548" s="44" t="s">
        <v>27</v>
      </c>
      <c r="F548" s="24">
        <f>F549</f>
        <v>13319710.560000001</v>
      </c>
      <c r="G548" s="24">
        <f t="shared" ref="G548:H552" si="381">G549</f>
        <v>16555530.560000001</v>
      </c>
      <c r="H548" s="24">
        <f t="shared" si="381"/>
        <v>3544441.33</v>
      </c>
      <c r="I548" s="24">
        <f t="shared" si="359"/>
        <v>13011089.23</v>
      </c>
      <c r="J548" s="24">
        <f t="shared" si="362"/>
        <v>26.61</v>
      </c>
      <c r="K548" s="24">
        <f t="shared" si="360"/>
        <v>21.41</v>
      </c>
      <c r="L548" s="24"/>
      <c r="M548" s="35"/>
      <c r="N548" s="35"/>
    </row>
    <row r="549" spans="1:14" s="7" customFormat="1" ht="46.8" x14ac:dyDescent="0.3">
      <c r="A549" s="66" t="s">
        <v>426</v>
      </c>
      <c r="B549" s="16">
        <v>995</v>
      </c>
      <c r="C549" s="44" t="s">
        <v>223</v>
      </c>
      <c r="D549" s="44" t="s">
        <v>0</v>
      </c>
      <c r="E549" s="44" t="s">
        <v>27</v>
      </c>
      <c r="F549" s="24">
        <f>F550</f>
        <v>13319710.560000001</v>
      </c>
      <c r="G549" s="24">
        <f t="shared" si="381"/>
        <v>16555530.560000001</v>
      </c>
      <c r="H549" s="24">
        <f t="shared" si="381"/>
        <v>3544441.33</v>
      </c>
      <c r="I549" s="24">
        <f t="shared" si="359"/>
        <v>13011089.23</v>
      </c>
      <c r="J549" s="24">
        <f t="shared" si="362"/>
        <v>26.61</v>
      </c>
      <c r="K549" s="24">
        <f t="shared" si="360"/>
        <v>21.41</v>
      </c>
      <c r="L549" s="24"/>
      <c r="M549" s="35"/>
      <c r="N549" s="35"/>
    </row>
    <row r="550" spans="1:14" s="7" customFormat="1" ht="62.4" x14ac:dyDescent="0.3">
      <c r="A550" s="66" t="s">
        <v>427</v>
      </c>
      <c r="B550" s="16">
        <v>995</v>
      </c>
      <c r="C550" s="44" t="s">
        <v>223</v>
      </c>
      <c r="D550" s="44" t="s">
        <v>1</v>
      </c>
      <c r="E550" s="44" t="s">
        <v>27</v>
      </c>
      <c r="F550" s="24">
        <f>F551</f>
        <v>13319710.560000001</v>
      </c>
      <c r="G550" s="24">
        <f t="shared" si="381"/>
        <v>16555530.560000001</v>
      </c>
      <c r="H550" s="24">
        <f t="shared" si="381"/>
        <v>3544441.33</v>
      </c>
      <c r="I550" s="24">
        <f t="shared" si="359"/>
        <v>13011089.23</v>
      </c>
      <c r="J550" s="24">
        <f t="shared" si="362"/>
        <v>26.61</v>
      </c>
      <c r="K550" s="24">
        <f t="shared" si="360"/>
        <v>21.41</v>
      </c>
      <c r="L550" s="24"/>
      <c r="M550" s="35"/>
      <c r="N550" s="35"/>
    </row>
    <row r="551" spans="1:14" s="7" customFormat="1" ht="31.2" x14ac:dyDescent="0.25">
      <c r="A551" s="43" t="s">
        <v>287</v>
      </c>
      <c r="B551" s="16">
        <v>995</v>
      </c>
      <c r="C551" s="44" t="s">
        <v>223</v>
      </c>
      <c r="D551" s="44" t="s">
        <v>264</v>
      </c>
      <c r="E551" s="44" t="s">
        <v>27</v>
      </c>
      <c r="F551" s="24">
        <f>F552</f>
        <v>13319710.560000001</v>
      </c>
      <c r="G551" s="24">
        <f t="shared" si="381"/>
        <v>16555530.560000001</v>
      </c>
      <c r="H551" s="24">
        <f t="shared" si="381"/>
        <v>3544441.33</v>
      </c>
      <c r="I551" s="24">
        <f t="shared" si="359"/>
        <v>13011089.23</v>
      </c>
      <c r="J551" s="24">
        <f t="shared" si="362"/>
        <v>26.61</v>
      </c>
      <c r="K551" s="24">
        <f t="shared" si="360"/>
        <v>21.41</v>
      </c>
      <c r="L551" s="24"/>
      <c r="M551" s="35"/>
      <c r="N551" s="35"/>
    </row>
    <row r="552" spans="1:14" s="7" customFormat="1" ht="46.8" x14ac:dyDescent="0.25">
      <c r="A552" s="30" t="s">
        <v>265</v>
      </c>
      <c r="B552" s="17">
        <v>995</v>
      </c>
      <c r="C552" s="42" t="s">
        <v>223</v>
      </c>
      <c r="D552" s="42" t="s">
        <v>228</v>
      </c>
      <c r="E552" s="42" t="s">
        <v>27</v>
      </c>
      <c r="F552" s="24">
        <f>F553</f>
        <v>13319710.560000001</v>
      </c>
      <c r="G552" s="24">
        <f t="shared" si="381"/>
        <v>16555530.560000001</v>
      </c>
      <c r="H552" s="24">
        <f t="shared" si="381"/>
        <v>3544441.33</v>
      </c>
      <c r="I552" s="24">
        <f t="shared" si="359"/>
        <v>13011089.23</v>
      </c>
      <c r="J552" s="24">
        <f t="shared" si="362"/>
        <v>26.61</v>
      </c>
      <c r="K552" s="24">
        <f t="shared" si="360"/>
        <v>21.41</v>
      </c>
      <c r="L552" s="24"/>
      <c r="M552" s="35"/>
      <c r="N552" s="35"/>
    </row>
    <row r="553" spans="1:14" s="7" customFormat="1" ht="15.6" x14ac:dyDescent="0.25">
      <c r="A553" s="30" t="s">
        <v>138</v>
      </c>
      <c r="B553" s="17">
        <v>995</v>
      </c>
      <c r="C553" s="42" t="s">
        <v>223</v>
      </c>
      <c r="D553" s="42" t="s">
        <v>228</v>
      </c>
      <c r="E553" s="42" t="s">
        <v>139</v>
      </c>
      <c r="F553" s="24">
        <f>13319710.56</f>
        <v>13319710.560000001</v>
      </c>
      <c r="G553" s="24">
        <f t="shared" ref="G553" si="382">13319710.56+2354341+881479</f>
        <v>16555530.560000001</v>
      </c>
      <c r="H553" s="24">
        <v>3544441.33</v>
      </c>
      <c r="I553" s="24">
        <f t="shared" si="359"/>
        <v>13011089.23</v>
      </c>
      <c r="J553" s="24">
        <f t="shared" si="362"/>
        <v>26.61</v>
      </c>
      <c r="K553" s="24">
        <f t="shared" si="360"/>
        <v>21.41</v>
      </c>
      <c r="L553" s="24"/>
      <c r="M553" s="35"/>
      <c r="N553" s="35"/>
    </row>
    <row r="554" spans="1:14" s="7" customFormat="1" ht="15.6" x14ac:dyDescent="0.25">
      <c r="A554" s="30" t="s">
        <v>295</v>
      </c>
      <c r="B554" s="34" t="s">
        <v>63</v>
      </c>
      <c r="C554" s="34" t="s">
        <v>91</v>
      </c>
      <c r="D554" s="34" t="s">
        <v>154</v>
      </c>
      <c r="E554" s="34" t="s">
        <v>27</v>
      </c>
      <c r="F554" s="20">
        <f>F556</f>
        <v>5429087.1500000004</v>
      </c>
      <c r="G554" s="20">
        <f t="shared" ref="G554:H554" si="383">G556</f>
        <v>6291254.1500000004</v>
      </c>
      <c r="H554" s="20">
        <f t="shared" si="383"/>
        <v>73399.399999999994</v>
      </c>
      <c r="I554" s="20">
        <f t="shared" si="359"/>
        <v>6217854.75</v>
      </c>
      <c r="J554" s="20">
        <f t="shared" si="362"/>
        <v>1.35</v>
      </c>
      <c r="K554" s="20">
        <f t="shared" si="360"/>
        <v>1.17</v>
      </c>
      <c r="L554" s="20"/>
      <c r="M554" s="35"/>
      <c r="N554" s="35"/>
    </row>
    <row r="555" spans="1:14" s="7" customFormat="1" ht="46.8" x14ac:dyDescent="0.25">
      <c r="A555" s="30" t="s">
        <v>426</v>
      </c>
      <c r="B555" s="34" t="s">
        <v>63</v>
      </c>
      <c r="C555" s="34" t="s">
        <v>91</v>
      </c>
      <c r="D555" s="34" t="s">
        <v>0</v>
      </c>
      <c r="E555" s="34" t="s">
        <v>27</v>
      </c>
      <c r="F555" s="20">
        <f t="shared" ref="F555:H556" si="384">F556</f>
        <v>5429087.1500000004</v>
      </c>
      <c r="G555" s="20">
        <f t="shared" si="384"/>
        <v>6291254.1500000004</v>
      </c>
      <c r="H555" s="20">
        <f t="shared" si="384"/>
        <v>73399.399999999994</v>
      </c>
      <c r="I555" s="20">
        <f t="shared" si="359"/>
        <v>6217854.75</v>
      </c>
      <c r="J555" s="20">
        <f t="shared" si="362"/>
        <v>1.35</v>
      </c>
      <c r="K555" s="20">
        <f t="shared" si="360"/>
        <v>1.17</v>
      </c>
      <c r="L555" s="20"/>
      <c r="M555" s="35"/>
      <c r="N555" s="35"/>
    </row>
    <row r="556" spans="1:14" s="7" customFormat="1" ht="46.8" x14ac:dyDescent="0.3">
      <c r="A556" s="66" t="s">
        <v>431</v>
      </c>
      <c r="B556" s="16">
        <v>995</v>
      </c>
      <c r="C556" s="44" t="s">
        <v>91</v>
      </c>
      <c r="D556" s="44" t="s">
        <v>1</v>
      </c>
      <c r="E556" s="44" t="s">
        <v>27</v>
      </c>
      <c r="F556" s="24">
        <f>F557</f>
        <v>5429087.1500000004</v>
      </c>
      <c r="G556" s="24">
        <f t="shared" si="384"/>
        <v>6291254.1500000004</v>
      </c>
      <c r="H556" s="24">
        <f t="shared" si="384"/>
        <v>73399.399999999994</v>
      </c>
      <c r="I556" s="24">
        <f t="shared" si="359"/>
        <v>6217854.75</v>
      </c>
      <c r="J556" s="24">
        <f t="shared" si="362"/>
        <v>1.35</v>
      </c>
      <c r="K556" s="24">
        <f t="shared" si="360"/>
        <v>1.17</v>
      </c>
      <c r="L556" s="24"/>
      <c r="M556" s="35"/>
      <c r="N556" s="35"/>
    </row>
    <row r="557" spans="1:14" s="7" customFormat="1" ht="46.8" x14ac:dyDescent="0.3">
      <c r="A557" s="66" t="s">
        <v>289</v>
      </c>
      <c r="B557" s="16">
        <v>995</v>
      </c>
      <c r="C557" s="44" t="s">
        <v>91</v>
      </c>
      <c r="D557" s="44" t="s">
        <v>288</v>
      </c>
      <c r="E557" s="44" t="s">
        <v>27</v>
      </c>
      <c r="F557" s="24">
        <f>F558+F563+F561</f>
        <v>5429087.1500000004</v>
      </c>
      <c r="G557" s="24">
        <f t="shared" ref="G557:H557" si="385">G558+G563+G561</f>
        <v>6291254.1500000004</v>
      </c>
      <c r="H557" s="24">
        <f t="shared" si="385"/>
        <v>73399.399999999994</v>
      </c>
      <c r="I557" s="24">
        <f t="shared" si="359"/>
        <v>6217854.75</v>
      </c>
      <c r="J557" s="24">
        <f t="shared" si="362"/>
        <v>1.35</v>
      </c>
      <c r="K557" s="24">
        <f t="shared" si="360"/>
        <v>1.17</v>
      </c>
      <c r="L557" s="24"/>
      <c r="M557" s="35"/>
      <c r="N557" s="35"/>
    </row>
    <row r="558" spans="1:14" s="7" customFormat="1" ht="46.8" x14ac:dyDescent="0.25">
      <c r="A558" s="43" t="s">
        <v>249</v>
      </c>
      <c r="B558" s="34" t="s">
        <v>63</v>
      </c>
      <c r="C558" s="34" t="s">
        <v>91</v>
      </c>
      <c r="D558" s="34" t="s">
        <v>21</v>
      </c>
      <c r="E558" s="34" t="s">
        <v>27</v>
      </c>
      <c r="F558" s="20">
        <f>F559+F560</f>
        <v>2898087.15</v>
      </c>
      <c r="G558" s="20">
        <f t="shared" ref="G558:H558" si="386">G559+G560</f>
        <v>2898087.15</v>
      </c>
      <c r="H558" s="20">
        <f t="shared" si="386"/>
        <v>73399.399999999994</v>
      </c>
      <c r="I558" s="20">
        <f t="shared" si="359"/>
        <v>2824687.75</v>
      </c>
      <c r="J558" s="20">
        <f t="shared" si="362"/>
        <v>2.5299999999999998</v>
      </c>
      <c r="K558" s="20">
        <f t="shared" si="360"/>
        <v>2.5299999999999998</v>
      </c>
      <c r="L558" s="20"/>
      <c r="M558" s="35"/>
      <c r="N558" s="35"/>
    </row>
    <row r="559" spans="1:14" s="7" customFormat="1" ht="31.2" x14ac:dyDescent="0.25">
      <c r="A559" s="30" t="s">
        <v>136</v>
      </c>
      <c r="B559" s="34" t="s">
        <v>63</v>
      </c>
      <c r="C559" s="34" t="s">
        <v>91</v>
      </c>
      <c r="D559" s="34" t="s">
        <v>21</v>
      </c>
      <c r="E559" s="34" t="s">
        <v>137</v>
      </c>
      <c r="F559" s="20">
        <v>160000</v>
      </c>
      <c r="G559" s="20">
        <v>160000</v>
      </c>
      <c r="H559" s="20">
        <v>73399.399999999994</v>
      </c>
      <c r="I559" s="20">
        <f t="shared" si="359"/>
        <v>86600.6</v>
      </c>
      <c r="J559" s="20">
        <f t="shared" si="362"/>
        <v>45.87</v>
      </c>
      <c r="K559" s="20">
        <f t="shared" si="360"/>
        <v>45.87</v>
      </c>
      <c r="L559" s="20"/>
      <c r="M559" s="35"/>
      <c r="N559" s="35"/>
    </row>
    <row r="560" spans="1:14" s="7" customFormat="1" ht="15.6" x14ac:dyDescent="0.25">
      <c r="A560" s="30" t="s">
        <v>138</v>
      </c>
      <c r="B560" s="34" t="s">
        <v>63</v>
      </c>
      <c r="C560" s="34" t="s">
        <v>91</v>
      </c>
      <c r="D560" s="34" t="s">
        <v>21</v>
      </c>
      <c r="E560" s="34" t="s">
        <v>139</v>
      </c>
      <c r="F560" s="15">
        <v>2738087.15</v>
      </c>
      <c r="G560" s="15">
        <v>2738087.15</v>
      </c>
      <c r="H560" s="15">
        <v>0</v>
      </c>
      <c r="I560" s="15">
        <f t="shared" si="359"/>
        <v>2738087.15</v>
      </c>
      <c r="J560" s="15">
        <f t="shared" si="362"/>
        <v>0</v>
      </c>
      <c r="K560" s="15">
        <f t="shared" si="360"/>
        <v>0</v>
      </c>
      <c r="L560" s="15"/>
      <c r="M560" s="35"/>
      <c r="N560" s="35"/>
    </row>
    <row r="561" spans="1:14" s="7" customFormat="1" ht="81.599999999999994" customHeight="1" x14ac:dyDescent="0.25">
      <c r="A561" s="43" t="s">
        <v>493</v>
      </c>
      <c r="B561" s="34" t="s">
        <v>63</v>
      </c>
      <c r="C561" s="34" t="s">
        <v>91</v>
      </c>
      <c r="D561" s="34" t="s">
        <v>494</v>
      </c>
      <c r="E561" s="34" t="s">
        <v>27</v>
      </c>
      <c r="F561" s="20">
        <f>F562</f>
        <v>1100000</v>
      </c>
      <c r="G561" s="20">
        <f t="shared" ref="G561:H561" si="387">G562</f>
        <v>1100000</v>
      </c>
      <c r="H561" s="20">
        <f t="shared" si="387"/>
        <v>0</v>
      </c>
      <c r="I561" s="20">
        <f t="shared" si="359"/>
        <v>1100000</v>
      </c>
      <c r="J561" s="20">
        <f t="shared" si="362"/>
        <v>0</v>
      </c>
      <c r="K561" s="20">
        <f t="shared" si="360"/>
        <v>0</v>
      </c>
      <c r="L561" s="20"/>
      <c r="M561" s="35"/>
      <c r="N561" s="35"/>
    </row>
    <row r="562" spans="1:14" s="7" customFormat="1" ht="15.6" x14ac:dyDescent="0.25">
      <c r="A562" s="30" t="s">
        <v>138</v>
      </c>
      <c r="B562" s="34" t="s">
        <v>63</v>
      </c>
      <c r="C562" s="34" t="s">
        <v>91</v>
      </c>
      <c r="D562" s="34" t="s">
        <v>494</v>
      </c>
      <c r="E562" s="34" t="s">
        <v>139</v>
      </c>
      <c r="F562" s="15">
        <v>1100000</v>
      </c>
      <c r="G562" s="15">
        <v>1100000</v>
      </c>
      <c r="H562" s="15">
        <v>0</v>
      </c>
      <c r="I562" s="15">
        <f t="shared" si="359"/>
        <v>1100000</v>
      </c>
      <c r="J562" s="15">
        <f t="shared" si="362"/>
        <v>0</v>
      </c>
      <c r="K562" s="15">
        <f t="shared" si="360"/>
        <v>0</v>
      </c>
      <c r="L562" s="15"/>
      <c r="M562" s="35"/>
      <c r="N562" s="35"/>
    </row>
    <row r="563" spans="1:14" s="7" customFormat="1" ht="46.8" x14ac:dyDescent="0.25">
      <c r="A563" s="77" t="s">
        <v>291</v>
      </c>
      <c r="B563" s="34" t="s">
        <v>63</v>
      </c>
      <c r="C563" s="34" t="s">
        <v>91</v>
      </c>
      <c r="D563" s="34" t="s">
        <v>290</v>
      </c>
      <c r="E563" s="34" t="s">
        <v>27</v>
      </c>
      <c r="F563" s="24">
        <f>F564</f>
        <v>1431000</v>
      </c>
      <c r="G563" s="24">
        <f t="shared" ref="G563:H563" si="388">G564</f>
        <v>2293167</v>
      </c>
      <c r="H563" s="24">
        <f t="shared" si="388"/>
        <v>0</v>
      </c>
      <c r="I563" s="24">
        <f t="shared" si="359"/>
        <v>2293167</v>
      </c>
      <c r="J563" s="24">
        <f t="shared" si="362"/>
        <v>0</v>
      </c>
      <c r="K563" s="24">
        <f t="shared" si="360"/>
        <v>0</v>
      </c>
      <c r="L563" s="24"/>
      <c r="M563" s="35"/>
      <c r="N563" s="35"/>
    </row>
    <row r="564" spans="1:14" s="7" customFormat="1" ht="15.6" x14ac:dyDescent="0.25">
      <c r="A564" s="30" t="s">
        <v>138</v>
      </c>
      <c r="B564" s="34" t="s">
        <v>63</v>
      </c>
      <c r="C564" s="34" t="s">
        <v>91</v>
      </c>
      <c r="D564" s="34" t="s">
        <v>290</v>
      </c>
      <c r="E564" s="34" t="s">
        <v>139</v>
      </c>
      <c r="F564" s="24">
        <f>1431000</f>
        <v>1431000</v>
      </c>
      <c r="G564" s="24">
        <f t="shared" ref="G564" si="389">1431000+862167</f>
        <v>2293167</v>
      </c>
      <c r="H564" s="24">
        <v>0</v>
      </c>
      <c r="I564" s="24">
        <f t="shared" si="359"/>
        <v>2293167</v>
      </c>
      <c r="J564" s="24">
        <f t="shared" si="362"/>
        <v>0</v>
      </c>
      <c r="K564" s="24">
        <f t="shared" si="360"/>
        <v>0</v>
      </c>
      <c r="L564" s="24"/>
      <c r="M564" s="35"/>
      <c r="N564" s="35"/>
    </row>
    <row r="565" spans="1:14" s="7" customFormat="1" ht="15.6" x14ac:dyDescent="0.25">
      <c r="A565" s="50" t="s">
        <v>34</v>
      </c>
      <c r="B565" s="41" t="s">
        <v>63</v>
      </c>
      <c r="C565" s="41" t="s">
        <v>49</v>
      </c>
      <c r="D565" s="41" t="s">
        <v>154</v>
      </c>
      <c r="E565" s="41" t="s">
        <v>27</v>
      </c>
      <c r="F565" s="20">
        <f>F567</f>
        <v>42573371</v>
      </c>
      <c r="G565" s="20">
        <f t="shared" ref="G565:H565" si="390">G567</f>
        <v>43721166</v>
      </c>
      <c r="H565" s="20">
        <f t="shared" si="390"/>
        <v>8542944.3599999994</v>
      </c>
      <c r="I565" s="20">
        <f t="shared" si="359"/>
        <v>35178221.640000001</v>
      </c>
      <c r="J565" s="20">
        <f t="shared" si="362"/>
        <v>20.07</v>
      </c>
      <c r="K565" s="20">
        <f t="shared" si="360"/>
        <v>19.54</v>
      </c>
      <c r="L565" s="20"/>
      <c r="M565" s="35"/>
      <c r="N565" s="35"/>
    </row>
    <row r="566" spans="1:14" s="7" customFormat="1" ht="46.8" x14ac:dyDescent="0.25">
      <c r="A566" s="30" t="s">
        <v>426</v>
      </c>
      <c r="B566" s="34" t="s">
        <v>63</v>
      </c>
      <c r="C566" s="34" t="s">
        <v>49</v>
      </c>
      <c r="D566" s="34" t="s">
        <v>0</v>
      </c>
      <c r="E566" s="34" t="s">
        <v>27</v>
      </c>
      <c r="F566" s="20">
        <f t="shared" ref="F566:H566" si="391">F567</f>
        <v>42573371</v>
      </c>
      <c r="G566" s="20">
        <f t="shared" si="391"/>
        <v>43721166</v>
      </c>
      <c r="H566" s="20">
        <f t="shared" si="391"/>
        <v>8542944.3599999994</v>
      </c>
      <c r="I566" s="20">
        <f t="shared" si="359"/>
        <v>35178221.640000001</v>
      </c>
      <c r="J566" s="20">
        <f t="shared" si="362"/>
        <v>20.07</v>
      </c>
      <c r="K566" s="20">
        <f t="shared" si="360"/>
        <v>19.54</v>
      </c>
      <c r="L566" s="20"/>
      <c r="M566" s="35"/>
      <c r="N566" s="35"/>
    </row>
    <row r="567" spans="1:14" s="7" customFormat="1" ht="31.2" x14ac:dyDescent="0.25">
      <c r="A567" s="30" t="s">
        <v>292</v>
      </c>
      <c r="B567" s="41" t="s">
        <v>63</v>
      </c>
      <c r="C567" s="34" t="s">
        <v>49</v>
      </c>
      <c r="D567" s="34" t="s">
        <v>22</v>
      </c>
      <c r="E567" s="41" t="s">
        <v>27</v>
      </c>
      <c r="F567" s="20">
        <f>F569</f>
        <v>42573371</v>
      </c>
      <c r="G567" s="20">
        <f t="shared" ref="G567:H567" si="392">G569</f>
        <v>43721166</v>
      </c>
      <c r="H567" s="20">
        <f t="shared" si="392"/>
        <v>8542944.3599999994</v>
      </c>
      <c r="I567" s="20">
        <f t="shared" si="359"/>
        <v>35178221.640000001</v>
      </c>
      <c r="J567" s="20">
        <f t="shared" si="362"/>
        <v>20.07</v>
      </c>
      <c r="K567" s="20">
        <f t="shared" si="360"/>
        <v>19.54</v>
      </c>
      <c r="L567" s="20"/>
      <c r="M567" s="35"/>
      <c r="N567" s="35"/>
    </row>
    <row r="568" spans="1:14" s="7" customFormat="1" ht="62.4" x14ac:dyDescent="0.25">
      <c r="A568" s="43" t="s">
        <v>406</v>
      </c>
      <c r="B568" s="16">
        <v>995</v>
      </c>
      <c r="C568" s="44" t="s">
        <v>49</v>
      </c>
      <c r="D568" s="44" t="s">
        <v>293</v>
      </c>
      <c r="E568" s="44" t="s">
        <v>27</v>
      </c>
      <c r="F568" s="24">
        <f>F569</f>
        <v>42573371</v>
      </c>
      <c r="G568" s="24">
        <f t="shared" ref="G568:H568" si="393">G569</f>
        <v>43721166</v>
      </c>
      <c r="H568" s="24">
        <f t="shared" si="393"/>
        <v>8542944.3599999994</v>
      </c>
      <c r="I568" s="24">
        <f t="shared" si="359"/>
        <v>35178221.640000001</v>
      </c>
      <c r="J568" s="24">
        <f t="shared" si="362"/>
        <v>20.07</v>
      </c>
      <c r="K568" s="24">
        <f t="shared" si="360"/>
        <v>19.54</v>
      </c>
      <c r="L568" s="24"/>
      <c r="M568" s="35"/>
      <c r="N568" s="35"/>
    </row>
    <row r="569" spans="1:14" s="7" customFormat="1" ht="46.8" x14ac:dyDescent="0.25">
      <c r="A569" s="30" t="s">
        <v>119</v>
      </c>
      <c r="B569" s="41" t="s">
        <v>63</v>
      </c>
      <c r="C569" s="34" t="s">
        <v>49</v>
      </c>
      <c r="D569" s="34" t="s">
        <v>23</v>
      </c>
      <c r="E569" s="41" t="s">
        <v>27</v>
      </c>
      <c r="F569" s="20">
        <f>F570+F571+F572+F573+F574+F575</f>
        <v>42573371</v>
      </c>
      <c r="G569" s="20">
        <f t="shared" ref="G569:H569" si="394">G570+G571+G572+G573+G574+G575</f>
        <v>43721166</v>
      </c>
      <c r="H569" s="20">
        <f t="shared" si="394"/>
        <v>8542944.3599999994</v>
      </c>
      <c r="I569" s="20">
        <f t="shared" si="359"/>
        <v>35178221.640000001</v>
      </c>
      <c r="J569" s="20">
        <f t="shared" si="362"/>
        <v>20.07</v>
      </c>
      <c r="K569" s="20">
        <f t="shared" si="360"/>
        <v>19.54</v>
      </c>
      <c r="L569" s="20"/>
      <c r="M569" s="35"/>
      <c r="N569" s="35"/>
    </row>
    <row r="570" spans="1:14" s="7" customFormat="1" ht="15.6" x14ac:dyDescent="0.25">
      <c r="A570" s="33" t="s">
        <v>140</v>
      </c>
      <c r="B570" s="41" t="s">
        <v>63</v>
      </c>
      <c r="C570" s="34" t="s">
        <v>49</v>
      </c>
      <c r="D570" s="34" t="s">
        <v>23</v>
      </c>
      <c r="E570" s="41" t="s">
        <v>141</v>
      </c>
      <c r="F570" s="24">
        <v>39119972</v>
      </c>
      <c r="G570" s="24">
        <v>39119972</v>
      </c>
      <c r="H570" s="24">
        <v>7605077.0499999998</v>
      </c>
      <c r="I570" s="24">
        <f t="shared" si="359"/>
        <v>31514894.949999999</v>
      </c>
      <c r="J570" s="24">
        <f t="shared" si="362"/>
        <v>19.440000000000001</v>
      </c>
      <c r="K570" s="24">
        <f t="shared" si="360"/>
        <v>19.440000000000001</v>
      </c>
      <c r="L570" s="24"/>
      <c r="M570" s="35"/>
      <c r="N570" s="35"/>
    </row>
    <row r="571" spans="1:14" s="7" customFormat="1" ht="31.2" x14ac:dyDescent="0.25">
      <c r="A571" s="33" t="s">
        <v>125</v>
      </c>
      <c r="B571" s="41" t="s">
        <v>63</v>
      </c>
      <c r="C571" s="34" t="s">
        <v>49</v>
      </c>
      <c r="D571" s="34" t="s">
        <v>23</v>
      </c>
      <c r="E571" s="41" t="s">
        <v>126</v>
      </c>
      <c r="F571" s="24">
        <f>3355328</f>
        <v>3355328</v>
      </c>
      <c r="G571" s="24">
        <f t="shared" ref="G571" si="395">3355328+1147795</f>
        <v>4503123</v>
      </c>
      <c r="H571" s="24">
        <v>937009.17</v>
      </c>
      <c r="I571" s="24">
        <f t="shared" si="359"/>
        <v>3566113.83</v>
      </c>
      <c r="J571" s="24">
        <f t="shared" si="362"/>
        <v>27.93</v>
      </c>
      <c r="K571" s="24">
        <f t="shared" si="360"/>
        <v>20.81</v>
      </c>
      <c r="L571" s="24"/>
      <c r="M571" s="35"/>
      <c r="N571" s="35"/>
    </row>
    <row r="572" spans="1:14" s="7" customFormat="1" ht="31.2" x14ac:dyDescent="0.25">
      <c r="A572" s="33" t="s">
        <v>136</v>
      </c>
      <c r="B572" s="41" t="s">
        <v>63</v>
      </c>
      <c r="C572" s="34" t="s">
        <v>49</v>
      </c>
      <c r="D572" s="34" t="s">
        <v>23</v>
      </c>
      <c r="E572" s="41" t="s">
        <v>137</v>
      </c>
      <c r="F572" s="24">
        <v>0</v>
      </c>
      <c r="G572" s="24">
        <v>0</v>
      </c>
      <c r="H572" s="24">
        <v>0</v>
      </c>
      <c r="I572" s="24">
        <f t="shared" si="359"/>
        <v>0</v>
      </c>
      <c r="J572" s="24" t="s">
        <v>668</v>
      </c>
      <c r="K572" s="24" t="s">
        <v>668</v>
      </c>
      <c r="L572" s="24"/>
      <c r="M572" s="35"/>
      <c r="N572" s="35"/>
    </row>
    <row r="573" spans="1:14" s="7" customFormat="1" ht="15.6" x14ac:dyDescent="0.25">
      <c r="A573" s="30" t="s">
        <v>188</v>
      </c>
      <c r="B573" s="41" t="s">
        <v>63</v>
      </c>
      <c r="C573" s="34" t="s">
        <v>49</v>
      </c>
      <c r="D573" s="34" t="s">
        <v>23</v>
      </c>
      <c r="E573" s="41" t="s">
        <v>189</v>
      </c>
      <c r="F573" s="24">
        <v>80000</v>
      </c>
      <c r="G573" s="24">
        <v>80000</v>
      </c>
      <c r="H573" s="24">
        <v>0</v>
      </c>
      <c r="I573" s="24">
        <f t="shared" si="359"/>
        <v>80000</v>
      </c>
      <c r="J573" s="24">
        <f t="shared" si="362"/>
        <v>0</v>
      </c>
      <c r="K573" s="24">
        <f t="shared" si="360"/>
        <v>0</v>
      </c>
      <c r="L573" s="24"/>
      <c r="M573" s="35"/>
      <c r="N573" s="35"/>
    </row>
    <row r="574" spans="1:14" s="7" customFormat="1" ht="15.6" x14ac:dyDescent="0.25">
      <c r="A574" s="52" t="s">
        <v>186</v>
      </c>
      <c r="B574" s="41" t="s">
        <v>63</v>
      </c>
      <c r="C574" s="34" t="s">
        <v>49</v>
      </c>
      <c r="D574" s="34" t="s">
        <v>23</v>
      </c>
      <c r="E574" s="41" t="s">
        <v>131</v>
      </c>
      <c r="F574" s="24">
        <v>0</v>
      </c>
      <c r="G574" s="24">
        <v>0</v>
      </c>
      <c r="H574" s="24">
        <v>0</v>
      </c>
      <c r="I574" s="24">
        <f t="shared" si="359"/>
        <v>0</v>
      </c>
      <c r="J574" s="24" t="s">
        <v>668</v>
      </c>
      <c r="K574" s="24" t="s">
        <v>668</v>
      </c>
      <c r="L574" s="24"/>
      <c r="M574" s="35"/>
      <c r="N574" s="35"/>
    </row>
    <row r="575" spans="1:14" s="7" customFormat="1" ht="15.6" x14ac:dyDescent="0.25">
      <c r="A575" s="33" t="s">
        <v>129</v>
      </c>
      <c r="B575" s="41" t="s">
        <v>63</v>
      </c>
      <c r="C575" s="34" t="s">
        <v>49</v>
      </c>
      <c r="D575" s="34" t="s">
        <v>23</v>
      </c>
      <c r="E575" s="41" t="s">
        <v>142</v>
      </c>
      <c r="F575" s="24">
        <v>18071</v>
      </c>
      <c r="G575" s="24">
        <v>18071</v>
      </c>
      <c r="H575" s="24">
        <v>858.14</v>
      </c>
      <c r="I575" s="24">
        <f t="shared" si="359"/>
        <v>17212.86</v>
      </c>
      <c r="J575" s="24">
        <f t="shared" si="362"/>
        <v>4.75</v>
      </c>
      <c r="K575" s="24">
        <f t="shared" si="360"/>
        <v>4.75</v>
      </c>
      <c r="L575" s="24"/>
      <c r="M575" s="35"/>
      <c r="N575" s="35"/>
    </row>
    <row r="576" spans="1:14" s="7" customFormat="1" ht="15.6" x14ac:dyDescent="0.25">
      <c r="A576" s="78" t="s">
        <v>61</v>
      </c>
      <c r="B576" s="73" t="s">
        <v>63</v>
      </c>
      <c r="C576" s="56" t="s">
        <v>62</v>
      </c>
      <c r="D576" s="56" t="s">
        <v>154</v>
      </c>
      <c r="E576" s="73" t="s">
        <v>27</v>
      </c>
      <c r="F576" s="21">
        <f>F577+F588+F595</f>
        <v>8830143</v>
      </c>
      <c r="G576" s="21">
        <f t="shared" ref="G576:H576" si="396">G577+G588+G595</f>
        <v>8853585</v>
      </c>
      <c r="H576" s="21">
        <f t="shared" si="396"/>
        <v>1064631.06</v>
      </c>
      <c r="I576" s="21">
        <f t="shared" si="359"/>
        <v>7788953.9400000004</v>
      </c>
      <c r="J576" s="21">
        <f t="shared" si="362"/>
        <v>12.06</v>
      </c>
      <c r="K576" s="21">
        <f t="shared" si="360"/>
        <v>12.02</v>
      </c>
      <c r="L576" s="21"/>
      <c r="M576" s="35"/>
      <c r="N576" s="35"/>
    </row>
    <row r="577" spans="1:14" s="7" customFormat="1" ht="15.6" x14ac:dyDescent="0.25">
      <c r="A577" s="30" t="s">
        <v>92</v>
      </c>
      <c r="B577" s="47" t="s">
        <v>63</v>
      </c>
      <c r="C577" s="34" t="s">
        <v>93</v>
      </c>
      <c r="D577" s="34" t="s">
        <v>154</v>
      </c>
      <c r="E577" s="34" t="s">
        <v>27</v>
      </c>
      <c r="F577" s="24">
        <f>F578</f>
        <v>3140000</v>
      </c>
      <c r="G577" s="24">
        <f t="shared" ref="G577:H577" si="397">G578</f>
        <v>3140000</v>
      </c>
      <c r="H577" s="24">
        <f t="shared" si="397"/>
        <v>228000</v>
      </c>
      <c r="I577" s="24">
        <f t="shared" si="359"/>
        <v>2912000</v>
      </c>
      <c r="J577" s="24">
        <f t="shared" si="362"/>
        <v>7.26</v>
      </c>
      <c r="K577" s="24">
        <f t="shared" si="360"/>
        <v>7.26</v>
      </c>
      <c r="L577" s="24"/>
      <c r="M577" s="35"/>
      <c r="N577" s="35"/>
    </row>
    <row r="578" spans="1:14" s="7" customFormat="1" ht="46.8" x14ac:dyDescent="0.25">
      <c r="A578" s="30" t="s">
        <v>426</v>
      </c>
      <c r="B578" s="34" t="s">
        <v>63</v>
      </c>
      <c r="C578" s="34" t="s">
        <v>93</v>
      </c>
      <c r="D578" s="34" t="s">
        <v>0</v>
      </c>
      <c r="E578" s="34" t="s">
        <v>27</v>
      </c>
      <c r="F578" s="20">
        <f>F579+F584</f>
        <v>3140000</v>
      </c>
      <c r="G578" s="20">
        <f t="shared" ref="G578:H578" si="398">G579+G584</f>
        <v>3140000</v>
      </c>
      <c r="H578" s="20">
        <f t="shared" si="398"/>
        <v>228000</v>
      </c>
      <c r="I578" s="20">
        <f t="shared" si="359"/>
        <v>2912000</v>
      </c>
      <c r="J578" s="20">
        <f t="shared" si="362"/>
        <v>7.26</v>
      </c>
      <c r="K578" s="20">
        <f t="shared" si="360"/>
        <v>7.26</v>
      </c>
      <c r="L578" s="20"/>
      <c r="M578" s="35"/>
      <c r="N578" s="35"/>
    </row>
    <row r="579" spans="1:14" s="7" customFormat="1" ht="31.2" x14ac:dyDescent="0.25">
      <c r="A579" s="30" t="s">
        <v>292</v>
      </c>
      <c r="B579" s="41" t="s">
        <v>63</v>
      </c>
      <c r="C579" s="34" t="s">
        <v>93</v>
      </c>
      <c r="D579" s="34" t="s">
        <v>22</v>
      </c>
      <c r="E579" s="41" t="s">
        <v>27</v>
      </c>
      <c r="F579" s="20">
        <f>F581</f>
        <v>660000</v>
      </c>
      <c r="G579" s="20">
        <f t="shared" ref="G579:H579" si="399">G581</f>
        <v>660000</v>
      </c>
      <c r="H579" s="20">
        <f t="shared" si="399"/>
        <v>68000</v>
      </c>
      <c r="I579" s="20">
        <f t="shared" si="359"/>
        <v>592000</v>
      </c>
      <c r="J579" s="20">
        <f t="shared" si="362"/>
        <v>10.3</v>
      </c>
      <c r="K579" s="20">
        <f t="shared" si="360"/>
        <v>10.3</v>
      </c>
      <c r="L579" s="20"/>
      <c r="M579" s="35"/>
      <c r="N579" s="35"/>
    </row>
    <row r="580" spans="1:14" s="7" customFormat="1" ht="46.8" x14ac:dyDescent="0.25">
      <c r="A580" s="43" t="s">
        <v>297</v>
      </c>
      <c r="B580" s="16">
        <v>995</v>
      </c>
      <c r="C580" s="44" t="s">
        <v>93</v>
      </c>
      <c r="D580" s="44" t="s">
        <v>296</v>
      </c>
      <c r="E580" s="44" t="s">
        <v>27</v>
      </c>
      <c r="F580" s="24">
        <f>F581</f>
        <v>660000</v>
      </c>
      <c r="G580" s="24">
        <f t="shared" ref="G580:H582" si="400">G581</f>
        <v>660000</v>
      </c>
      <c r="H580" s="24">
        <f t="shared" si="400"/>
        <v>68000</v>
      </c>
      <c r="I580" s="24">
        <f t="shared" si="359"/>
        <v>592000</v>
      </c>
      <c r="J580" s="24">
        <f t="shared" si="362"/>
        <v>10.3</v>
      </c>
      <c r="K580" s="24">
        <f t="shared" si="360"/>
        <v>10.3</v>
      </c>
      <c r="L580" s="24"/>
      <c r="M580" s="35"/>
      <c r="N580" s="35"/>
    </row>
    <row r="581" spans="1:14" s="7" customFormat="1" ht="31.2" outlineLevel="5" x14ac:dyDescent="0.3">
      <c r="A581" s="66" t="s">
        <v>407</v>
      </c>
      <c r="B581" s="47" t="s">
        <v>63</v>
      </c>
      <c r="C581" s="34" t="s">
        <v>93</v>
      </c>
      <c r="D581" s="44" t="s">
        <v>296</v>
      </c>
      <c r="E581" s="34" t="s">
        <v>27</v>
      </c>
      <c r="F581" s="24">
        <f>F582</f>
        <v>660000</v>
      </c>
      <c r="G581" s="24">
        <f t="shared" si="400"/>
        <v>660000</v>
      </c>
      <c r="H581" s="24">
        <f t="shared" si="400"/>
        <v>68000</v>
      </c>
      <c r="I581" s="24">
        <f t="shared" si="359"/>
        <v>592000</v>
      </c>
      <c r="J581" s="24">
        <f t="shared" si="362"/>
        <v>10.3</v>
      </c>
      <c r="K581" s="24">
        <f t="shared" si="360"/>
        <v>10.3</v>
      </c>
      <c r="L581" s="24"/>
      <c r="M581" s="35"/>
      <c r="N581" s="35"/>
    </row>
    <row r="582" spans="1:14" s="7" customFormat="1" ht="31.2" outlineLevel="5" x14ac:dyDescent="0.25">
      <c r="A582" s="43" t="s">
        <v>261</v>
      </c>
      <c r="B582" s="47" t="s">
        <v>63</v>
      </c>
      <c r="C582" s="44" t="s">
        <v>93</v>
      </c>
      <c r="D582" s="36" t="s">
        <v>432</v>
      </c>
      <c r="E582" s="34" t="s">
        <v>27</v>
      </c>
      <c r="F582" s="20">
        <f>F583</f>
        <v>660000</v>
      </c>
      <c r="G582" s="20">
        <f t="shared" si="400"/>
        <v>660000</v>
      </c>
      <c r="H582" s="20">
        <f t="shared" si="400"/>
        <v>68000</v>
      </c>
      <c r="I582" s="20">
        <f t="shared" si="359"/>
        <v>592000</v>
      </c>
      <c r="J582" s="20">
        <f t="shared" si="362"/>
        <v>10.3</v>
      </c>
      <c r="K582" s="20">
        <f t="shared" si="360"/>
        <v>10.3</v>
      </c>
      <c r="L582" s="20"/>
      <c r="M582" s="35"/>
      <c r="N582" s="35"/>
    </row>
    <row r="583" spans="1:14" s="7" customFormat="1" ht="31.2" outlineLevel="5" x14ac:dyDescent="0.25">
      <c r="A583" s="30" t="s">
        <v>191</v>
      </c>
      <c r="B583" s="47" t="s">
        <v>63</v>
      </c>
      <c r="C583" s="44" t="s">
        <v>93</v>
      </c>
      <c r="D583" s="36" t="s">
        <v>432</v>
      </c>
      <c r="E583" s="34" t="s">
        <v>137</v>
      </c>
      <c r="F583" s="24">
        <v>660000</v>
      </c>
      <c r="G583" s="24">
        <v>660000</v>
      </c>
      <c r="H583" s="24">
        <v>68000</v>
      </c>
      <c r="I583" s="24">
        <f t="shared" si="359"/>
        <v>592000</v>
      </c>
      <c r="J583" s="24">
        <f t="shared" si="362"/>
        <v>10.3</v>
      </c>
      <c r="K583" s="24">
        <f t="shared" si="360"/>
        <v>10.3</v>
      </c>
      <c r="L583" s="24"/>
      <c r="M583" s="35"/>
      <c r="N583" s="35"/>
    </row>
    <row r="584" spans="1:14" s="7" customFormat="1" ht="15.6" x14ac:dyDescent="0.3">
      <c r="A584" s="66" t="s">
        <v>641</v>
      </c>
      <c r="B584" s="47" t="s">
        <v>63</v>
      </c>
      <c r="C584" s="44" t="s">
        <v>93</v>
      </c>
      <c r="D584" s="44" t="s">
        <v>177</v>
      </c>
      <c r="E584" s="44" t="s">
        <v>27</v>
      </c>
      <c r="F584" s="24">
        <f>F585</f>
        <v>2480000</v>
      </c>
      <c r="G584" s="24">
        <f t="shared" ref="G584:H586" si="401">G585</f>
        <v>2480000</v>
      </c>
      <c r="H584" s="24">
        <f t="shared" si="401"/>
        <v>160000</v>
      </c>
      <c r="I584" s="24">
        <f t="shared" si="359"/>
        <v>2320000</v>
      </c>
      <c r="J584" s="24">
        <f t="shared" si="362"/>
        <v>6.45</v>
      </c>
      <c r="K584" s="24">
        <f t="shared" si="360"/>
        <v>6.45</v>
      </c>
      <c r="L584" s="24"/>
      <c r="M584" s="35"/>
      <c r="N584" s="35"/>
    </row>
    <row r="585" spans="1:14" s="7" customFormat="1" ht="15.6" x14ac:dyDescent="0.3">
      <c r="A585" s="66" t="s">
        <v>642</v>
      </c>
      <c r="B585" s="47" t="s">
        <v>63</v>
      </c>
      <c r="C585" s="44" t="s">
        <v>93</v>
      </c>
      <c r="D585" s="44" t="s">
        <v>643</v>
      </c>
      <c r="E585" s="44" t="s">
        <v>27</v>
      </c>
      <c r="F585" s="24">
        <f>F586</f>
        <v>2480000</v>
      </c>
      <c r="G585" s="24">
        <f t="shared" si="401"/>
        <v>2480000</v>
      </c>
      <c r="H585" s="24">
        <f t="shared" si="401"/>
        <v>160000</v>
      </c>
      <c r="I585" s="24">
        <f t="shared" si="359"/>
        <v>2320000</v>
      </c>
      <c r="J585" s="24">
        <f t="shared" si="362"/>
        <v>6.45</v>
      </c>
      <c r="K585" s="24">
        <f t="shared" si="360"/>
        <v>6.45</v>
      </c>
      <c r="L585" s="24"/>
      <c r="M585" s="35"/>
      <c r="N585" s="35"/>
    </row>
    <row r="586" spans="1:14" s="7" customFormat="1" ht="93.6" x14ac:dyDescent="0.25">
      <c r="A586" s="43" t="s">
        <v>190</v>
      </c>
      <c r="B586" s="47" t="s">
        <v>63</v>
      </c>
      <c r="C586" s="44" t="s">
        <v>93</v>
      </c>
      <c r="D586" s="44" t="s">
        <v>648</v>
      </c>
      <c r="E586" s="44" t="s">
        <v>27</v>
      </c>
      <c r="F586" s="24">
        <f>F587</f>
        <v>2480000</v>
      </c>
      <c r="G586" s="24">
        <f t="shared" si="401"/>
        <v>2480000</v>
      </c>
      <c r="H586" s="24">
        <f t="shared" si="401"/>
        <v>160000</v>
      </c>
      <c r="I586" s="24">
        <f t="shared" si="359"/>
        <v>2320000</v>
      </c>
      <c r="J586" s="24">
        <f t="shared" si="362"/>
        <v>6.45</v>
      </c>
      <c r="K586" s="24">
        <f t="shared" si="360"/>
        <v>6.45</v>
      </c>
      <c r="L586" s="24"/>
      <c r="M586" s="35"/>
      <c r="N586" s="35"/>
    </row>
    <row r="587" spans="1:14" s="7" customFormat="1" ht="31.2" x14ac:dyDescent="0.25">
      <c r="A587" s="43" t="s">
        <v>191</v>
      </c>
      <c r="B587" s="47" t="s">
        <v>63</v>
      </c>
      <c r="C587" s="44" t="s">
        <v>93</v>
      </c>
      <c r="D587" s="44" t="s">
        <v>648</v>
      </c>
      <c r="E587" s="44" t="s">
        <v>137</v>
      </c>
      <c r="F587" s="15">
        <v>2480000</v>
      </c>
      <c r="G587" s="15">
        <v>2480000</v>
      </c>
      <c r="H587" s="15">
        <v>160000</v>
      </c>
      <c r="I587" s="15">
        <f t="shared" si="359"/>
        <v>2320000</v>
      </c>
      <c r="J587" s="15">
        <f t="shared" si="362"/>
        <v>6.45</v>
      </c>
      <c r="K587" s="15">
        <f t="shared" si="360"/>
        <v>6.45</v>
      </c>
      <c r="L587" s="15"/>
      <c r="M587" s="35"/>
      <c r="N587" s="35"/>
    </row>
    <row r="588" spans="1:14" s="7" customFormat="1" ht="15.6" x14ac:dyDescent="0.25">
      <c r="A588" s="50" t="s">
        <v>76</v>
      </c>
      <c r="B588" s="41" t="s">
        <v>63</v>
      </c>
      <c r="C588" s="34" t="s">
        <v>77</v>
      </c>
      <c r="D588" s="34" t="s">
        <v>154</v>
      </c>
      <c r="E588" s="41" t="s">
        <v>27</v>
      </c>
      <c r="F588" s="20">
        <f t="shared" ref="F588:H591" si="402">F589</f>
        <v>4829143</v>
      </c>
      <c r="G588" s="20">
        <f t="shared" si="402"/>
        <v>4852585</v>
      </c>
      <c r="H588" s="20">
        <f t="shared" si="402"/>
        <v>774295.06</v>
      </c>
      <c r="I588" s="20">
        <f t="shared" si="359"/>
        <v>4078289.94</v>
      </c>
      <c r="J588" s="20">
        <f t="shared" si="362"/>
        <v>16.03</v>
      </c>
      <c r="K588" s="20">
        <f t="shared" si="360"/>
        <v>15.96</v>
      </c>
      <c r="L588" s="20"/>
      <c r="M588" s="35"/>
      <c r="N588" s="35"/>
    </row>
    <row r="589" spans="1:14" s="7" customFormat="1" ht="46.8" x14ac:dyDescent="0.25">
      <c r="A589" s="30" t="s">
        <v>298</v>
      </c>
      <c r="B589" s="41" t="s">
        <v>63</v>
      </c>
      <c r="C589" s="34" t="s">
        <v>77</v>
      </c>
      <c r="D589" s="34" t="s">
        <v>5</v>
      </c>
      <c r="E589" s="41" t="s">
        <v>27</v>
      </c>
      <c r="F589" s="20">
        <f t="shared" si="402"/>
        <v>4829143</v>
      </c>
      <c r="G589" s="20">
        <f t="shared" si="402"/>
        <v>4852585</v>
      </c>
      <c r="H589" s="20">
        <f t="shared" si="402"/>
        <v>774295.06</v>
      </c>
      <c r="I589" s="20">
        <f t="shared" si="359"/>
        <v>4078289.94</v>
      </c>
      <c r="J589" s="20">
        <f t="shared" si="362"/>
        <v>16.03</v>
      </c>
      <c r="K589" s="20">
        <f t="shared" si="360"/>
        <v>15.96</v>
      </c>
      <c r="L589" s="20"/>
      <c r="M589" s="35"/>
      <c r="N589" s="35"/>
    </row>
    <row r="590" spans="1:14" s="7" customFormat="1" ht="31.2" x14ac:dyDescent="0.25">
      <c r="A590" s="30" t="s">
        <v>299</v>
      </c>
      <c r="B590" s="41" t="s">
        <v>63</v>
      </c>
      <c r="C590" s="34" t="s">
        <v>77</v>
      </c>
      <c r="D590" s="34" t="s">
        <v>300</v>
      </c>
      <c r="E590" s="41" t="s">
        <v>27</v>
      </c>
      <c r="F590" s="20">
        <f>F591</f>
        <v>4829143</v>
      </c>
      <c r="G590" s="20">
        <f t="shared" si="402"/>
        <v>4852585</v>
      </c>
      <c r="H590" s="20">
        <f t="shared" si="402"/>
        <v>774295.06</v>
      </c>
      <c r="I590" s="20">
        <f t="shared" ref="I590:I628" si="403">$G590-$H590</f>
        <v>4078289.94</v>
      </c>
      <c r="J590" s="20">
        <f t="shared" ref="J590:J628" si="404">$H590/$F590*100</f>
        <v>16.03</v>
      </c>
      <c r="K590" s="20">
        <f t="shared" ref="K590:K628" si="405">$H590/$G590*100</f>
        <v>15.96</v>
      </c>
      <c r="L590" s="20"/>
      <c r="M590" s="35"/>
      <c r="N590" s="35"/>
    </row>
    <row r="591" spans="1:14" s="7" customFormat="1" ht="31.2" x14ac:dyDescent="0.25">
      <c r="A591" s="30" t="s">
        <v>302</v>
      </c>
      <c r="B591" s="41" t="s">
        <v>63</v>
      </c>
      <c r="C591" s="34" t="s">
        <v>77</v>
      </c>
      <c r="D591" s="34" t="s">
        <v>344</v>
      </c>
      <c r="E591" s="41" t="s">
        <v>27</v>
      </c>
      <c r="F591" s="20">
        <f>F592</f>
        <v>4829143</v>
      </c>
      <c r="G591" s="20">
        <f t="shared" si="402"/>
        <v>4852585</v>
      </c>
      <c r="H591" s="20">
        <f t="shared" si="402"/>
        <v>774295.06</v>
      </c>
      <c r="I591" s="20">
        <f t="shared" si="403"/>
        <v>4078289.94</v>
      </c>
      <c r="J591" s="20">
        <f t="shared" si="404"/>
        <v>16.03</v>
      </c>
      <c r="K591" s="20">
        <f t="shared" si="405"/>
        <v>15.96</v>
      </c>
      <c r="L591" s="20"/>
      <c r="M591" s="35"/>
      <c r="N591" s="35"/>
    </row>
    <row r="592" spans="1:14" s="7" customFormat="1" ht="78" x14ac:dyDescent="0.25">
      <c r="A592" s="30" t="s">
        <v>25</v>
      </c>
      <c r="B592" s="41" t="s">
        <v>63</v>
      </c>
      <c r="C592" s="34" t="s">
        <v>77</v>
      </c>
      <c r="D592" s="34" t="s">
        <v>345</v>
      </c>
      <c r="E592" s="41" t="s">
        <v>27</v>
      </c>
      <c r="F592" s="20">
        <f>F593+F594</f>
        <v>4829143</v>
      </c>
      <c r="G592" s="20">
        <f t="shared" ref="G592:H592" si="406">G593+G594</f>
        <v>4852585</v>
      </c>
      <c r="H592" s="20">
        <f t="shared" si="406"/>
        <v>774295.06</v>
      </c>
      <c r="I592" s="20">
        <f t="shared" si="403"/>
        <v>4078289.94</v>
      </c>
      <c r="J592" s="20">
        <f t="shared" si="404"/>
        <v>16.03</v>
      </c>
      <c r="K592" s="20">
        <f t="shared" si="405"/>
        <v>15.96</v>
      </c>
      <c r="L592" s="20"/>
      <c r="M592" s="35"/>
      <c r="N592" s="35"/>
    </row>
    <row r="593" spans="1:14" s="7" customFormat="1" ht="31.2" x14ac:dyDescent="0.25">
      <c r="A593" s="33" t="s">
        <v>125</v>
      </c>
      <c r="B593" s="41" t="s">
        <v>63</v>
      </c>
      <c r="C593" s="34" t="s">
        <v>77</v>
      </c>
      <c r="D593" s="34" t="s">
        <v>345</v>
      </c>
      <c r="E593" s="41" t="s">
        <v>126</v>
      </c>
      <c r="F593" s="20">
        <v>0</v>
      </c>
      <c r="G593" s="20">
        <f t="shared" ref="G593" si="407">0+40000</f>
        <v>40000</v>
      </c>
      <c r="H593" s="20">
        <v>6032.35</v>
      </c>
      <c r="I593" s="20">
        <f t="shared" si="403"/>
        <v>33967.65</v>
      </c>
      <c r="J593" s="20" t="s">
        <v>668</v>
      </c>
      <c r="K593" s="20">
        <f t="shared" si="405"/>
        <v>15.08</v>
      </c>
      <c r="L593" s="20"/>
      <c r="M593" s="35"/>
      <c r="N593" s="35"/>
    </row>
    <row r="594" spans="1:14" s="7" customFormat="1" ht="31.2" x14ac:dyDescent="0.25">
      <c r="A594" s="30" t="s">
        <v>191</v>
      </c>
      <c r="B594" s="41" t="s">
        <v>63</v>
      </c>
      <c r="C594" s="34" t="s">
        <v>77</v>
      </c>
      <c r="D594" s="34" t="s">
        <v>345</v>
      </c>
      <c r="E594" s="41" t="s">
        <v>137</v>
      </c>
      <c r="F594" s="23">
        <f>4829143</f>
        <v>4829143</v>
      </c>
      <c r="G594" s="23">
        <f t="shared" ref="G594" si="408">4829143+23442-40000</f>
        <v>4812585</v>
      </c>
      <c r="H594" s="23">
        <v>768262.71</v>
      </c>
      <c r="I594" s="23">
        <f t="shared" si="403"/>
        <v>4044322.29</v>
      </c>
      <c r="J594" s="23">
        <f t="shared" si="404"/>
        <v>15.91</v>
      </c>
      <c r="K594" s="23">
        <f t="shared" si="405"/>
        <v>15.96</v>
      </c>
      <c r="L594" s="23"/>
      <c r="M594" s="35"/>
      <c r="N594" s="35"/>
    </row>
    <row r="595" spans="1:14" s="7" customFormat="1" ht="15.6" x14ac:dyDescent="0.25">
      <c r="A595" s="30" t="s">
        <v>114</v>
      </c>
      <c r="B595" s="41" t="s">
        <v>63</v>
      </c>
      <c r="C595" s="34" t="s">
        <v>115</v>
      </c>
      <c r="D595" s="34" t="s">
        <v>154</v>
      </c>
      <c r="E595" s="34" t="s">
        <v>27</v>
      </c>
      <c r="F595" s="24">
        <f>F596</f>
        <v>861000</v>
      </c>
      <c r="G595" s="24">
        <f t="shared" ref="G595:H595" si="409">G596</f>
        <v>861000</v>
      </c>
      <c r="H595" s="24">
        <f t="shared" si="409"/>
        <v>62336</v>
      </c>
      <c r="I595" s="24">
        <f t="shared" si="403"/>
        <v>798664</v>
      </c>
      <c r="J595" s="24">
        <f t="shared" si="404"/>
        <v>7.24</v>
      </c>
      <c r="K595" s="24">
        <f t="shared" si="405"/>
        <v>7.24</v>
      </c>
      <c r="L595" s="24"/>
      <c r="M595" s="35"/>
      <c r="N595" s="35"/>
    </row>
    <row r="596" spans="1:14" s="7" customFormat="1" ht="46.8" x14ac:dyDescent="0.25">
      <c r="A596" s="30" t="s">
        <v>426</v>
      </c>
      <c r="B596" s="34" t="s">
        <v>63</v>
      </c>
      <c r="C596" s="34" t="s">
        <v>115</v>
      </c>
      <c r="D596" s="34" t="s">
        <v>0</v>
      </c>
      <c r="E596" s="34" t="s">
        <v>27</v>
      </c>
      <c r="F596" s="20">
        <f t="shared" ref="F596:H597" si="410">F597</f>
        <v>861000</v>
      </c>
      <c r="G596" s="20">
        <f t="shared" si="410"/>
        <v>861000</v>
      </c>
      <c r="H596" s="20">
        <f t="shared" si="410"/>
        <v>62336</v>
      </c>
      <c r="I596" s="20">
        <f t="shared" si="403"/>
        <v>798664</v>
      </c>
      <c r="J596" s="20">
        <f t="shared" si="404"/>
        <v>7.24</v>
      </c>
      <c r="K596" s="20">
        <f t="shared" si="405"/>
        <v>7.24</v>
      </c>
      <c r="L596" s="20"/>
      <c r="M596" s="35"/>
      <c r="N596" s="35"/>
    </row>
    <row r="597" spans="1:14" s="7" customFormat="1" ht="31.2" x14ac:dyDescent="0.25">
      <c r="A597" s="30" t="s">
        <v>292</v>
      </c>
      <c r="B597" s="41" t="s">
        <v>63</v>
      </c>
      <c r="C597" s="34" t="s">
        <v>115</v>
      </c>
      <c r="D597" s="34" t="s">
        <v>22</v>
      </c>
      <c r="E597" s="41" t="s">
        <v>27</v>
      </c>
      <c r="F597" s="20">
        <f>F598</f>
        <v>861000</v>
      </c>
      <c r="G597" s="20">
        <f t="shared" si="410"/>
        <v>861000</v>
      </c>
      <c r="H597" s="20">
        <f t="shared" si="410"/>
        <v>62336</v>
      </c>
      <c r="I597" s="20">
        <f t="shared" si="403"/>
        <v>798664</v>
      </c>
      <c r="J597" s="20">
        <f t="shared" si="404"/>
        <v>7.24</v>
      </c>
      <c r="K597" s="20">
        <f t="shared" si="405"/>
        <v>7.24</v>
      </c>
      <c r="L597" s="20"/>
      <c r="M597" s="35"/>
      <c r="N597" s="35"/>
    </row>
    <row r="598" spans="1:14" s="7" customFormat="1" ht="46.8" x14ac:dyDescent="0.25">
      <c r="A598" s="43" t="s">
        <v>297</v>
      </c>
      <c r="B598" s="16">
        <v>995</v>
      </c>
      <c r="C598" s="44" t="s">
        <v>115</v>
      </c>
      <c r="D598" s="44" t="s">
        <v>296</v>
      </c>
      <c r="E598" s="44" t="s">
        <v>27</v>
      </c>
      <c r="F598" s="24">
        <f>F599+F601</f>
        <v>861000</v>
      </c>
      <c r="G598" s="24">
        <f t="shared" ref="G598:H598" si="411">G599+G601</f>
        <v>861000</v>
      </c>
      <c r="H598" s="24">
        <f t="shared" si="411"/>
        <v>62336</v>
      </c>
      <c r="I598" s="24">
        <f t="shared" si="403"/>
        <v>798664</v>
      </c>
      <c r="J598" s="24">
        <f t="shared" si="404"/>
        <v>7.24</v>
      </c>
      <c r="K598" s="24">
        <f t="shared" si="405"/>
        <v>7.24</v>
      </c>
      <c r="L598" s="24"/>
      <c r="M598" s="35"/>
      <c r="N598" s="35"/>
    </row>
    <row r="599" spans="1:14" s="7" customFormat="1" ht="46.8" x14ac:dyDescent="0.25">
      <c r="A599" s="30" t="s">
        <v>388</v>
      </c>
      <c r="B599" s="41" t="s">
        <v>63</v>
      </c>
      <c r="C599" s="34" t="s">
        <v>115</v>
      </c>
      <c r="D599" s="34" t="s">
        <v>387</v>
      </c>
      <c r="E599" s="34" t="s">
        <v>27</v>
      </c>
      <c r="F599" s="24">
        <f>F600</f>
        <v>765000</v>
      </c>
      <c r="G599" s="24">
        <f t="shared" ref="G599:H599" si="412">G600</f>
        <v>765000</v>
      </c>
      <c r="H599" s="24">
        <f t="shared" si="412"/>
        <v>50000</v>
      </c>
      <c r="I599" s="24">
        <f t="shared" si="403"/>
        <v>715000</v>
      </c>
      <c r="J599" s="24">
        <f t="shared" si="404"/>
        <v>6.54</v>
      </c>
      <c r="K599" s="24">
        <f t="shared" si="405"/>
        <v>6.54</v>
      </c>
      <c r="L599" s="24"/>
      <c r="M599" s="35"/>
      <c r="N599" s="35"/>
    </row>
    <row r="600" spans="1:14" s="7" customFormat="1" ht="31.2" x14ac:dyDescent="0.25">
      <c r="A600" s="30" t="s">
        <v>191</v>
      </c>
      <c r="B600" s="41" t="s">
        <v>63</v>
      </c>
      <c r="C600" s="34" t="s">
        <v>115</v>
      </c>
      <c r="D600" s="34" t="s">
        <v>387</v>
      </c>
      <c r="E600" s="34" t="s">
        <v>137</v>
      </c>
      <c r="F600" s="24">
        <v>765000</v>
      </c>
      <c r="G600" s="24">
        <v>765000</v>
      </c>
      <c r="H600" s="24">
        <v>50000</v>
      </c>
      <c r="I600" s="24">
        <f t="shared" si="403"/>
        <v>715000</v>
      </c>
      <c r="J600" s="24">
        <f t="shared" si="404"/>
        <v>6.54</v>
      </c>
      <c r="K600" s="24">
        <f t="shared" si="405"/>
        <v>6.54</v>
      </c>
      <c r="L600" s="24"/>
      <c r="M600" s="35"/>
      <c r="N600" s="35"/>
    </row>
    <row r="601" spans="1:14" s="7" customFormat="1" ht="15.6" x14ac:dyDescent="0.25">
      <c r="A601" s="30" t="s">
        <v>200</v>
      </c>
      <c r="B601" s="41" t="s">
        <v>63</v>
      </c>
      <c r="C601" s="34" t="s">
        <v>115</v>
      </c>
      <c r="D601" s="34" t="s">
        <v>303</v>
      </c>
      <c r="E601" s="34" t="s">
        <v>27</v>
      </c>
      <c r="F601" s="24">
        <f>F602+F603</f>
        <v>96000</v>
      </c>
      <c r="G601" s="24">
        <f t="shared" ref="G601:H601" si="413">G602+G603</f>
        <v>96000</v>
      </c>
      <c r="H601" s="24">
        <f t="shared" si="413"/>
        <v>12336</v>
      </c>
      <c r="I601" s="24">
        <f t="shared" si="403"/>
        <v>83664</v>
      </c>
      <c r="J601" s="24">
        <f t="shared" si="404"/>
        <v>12.85</v>
      </c>
      <c r="K601" s="24">
        <f t="shared" si="405"/>
        <v>12.85</v>
      </c>
      <c r="L601" s="24"/>
      <c r="M601" s="35"/>
      <c r="N601" s="35"/>
    </row>
    <row r="602" spans="1:14" s="7" customFormat="1" ht="31.2" x14ac:dyDescent="0.25">
      <c r="A602" s="30" t="s">
        <v>191</v>
      </c>
      <c r="B602" s="41" t="s">
        <v>63</v>
      </c>
      <c r="C602" s="34" t="s">
        <v>115</v>
      </c>
      <c r="D602" s="34" t="s">
        <v>303</v>
      </c>
      <c r="E602" s="34" t="s">
        <v>137</v>
      </c>
      <c r="F602" s="24">
        <f>96000</f>
        <v>96000</v>
      </c>
      <c r="G602" s="24">
        <f t="shared" ref="G602:H602" si="414">96000-96000</f>
        <v>0</v>
      </c>
      <c r="H602" s="24">
        <f t="shared" si="414"/>
        <v>0</v>
      </c>
      <c r="I602" s="24">
        <f t="shared" si="403"/>
        <v>0</v>
      </c>
      <c r="J602" s="24">
        <f t="shared" si="404"/>
        <v>0</v>
      </c>
      <c r="K602" s="24" t="s">
        <v>668</v>
      </c>
      <c r="L602" s="24"/>
      <c r="M602" s="35"/>
      <c r="N602" s="35"/>
    </row>
    <row r="603" spans="1:14" s="7" customFormat="1" ht="15.6" x14ac:dyDescent="0.25">
      <c r="A603" s="30" t="s">
        <v>633</v>
      </c>
      <c r="B603" s="41" t="s">
        <v>63</v>
      </c>
      <c r="C603" s="34" t="s">
        <v>115</v>
      </c>
      <c r="D603" s="34" t="s">
        <v>303</v>
      </c>
      <c r="E603" s="34" t="s">
        <v>649</v>
      </c>
      <c r="F603" s="24">
        <v>0</v>
      </c>
      <c r="G603" s="24">
        <v>96000</v>
      </c>
      <c r="H603" s="24">
        <v>12336</v>
      </c>
      <c r="I603" s="24">
        <f t="shared" si="403"/>
        <v>83664</v>
      </c>
      <c r="J603" s="24" t="e">
        <f t="shared" si="404"/>
        <v>#DIV/0!</v>
      </c>
      <c r="K603" s="24">
        <f t="shared" si="405"/>
        <v>12.85</v>
      </c>
      <c r="L603" s="24"/>
      <c r="M603" s="35"/>
      <c r="N603" s="35"/>
    </row>
    <row r="604" spans="1:14" s="7" customFormat="1" ht="15.6" x14ac:dyDescent="0.25">
      <c r="A604" s="78" t="s">
        <v>408</v>
      </c>
      <c r="B604" s="73" t="s">
        <v>65</v>
      </c>
      <c r="C604" s="56" t="s">
        <v>28</v>
      </c>
      <c r="D604" s="56" t="s">
        <v>154</v>
      </c>
      <c r="E604" s="73" t="s">
        <v>27</v>
      </c>
      <c r="F604" s="21">
        <f>F605</f>
        <v>12410900</v>
      </c>
      <c r="G604" s="21">
        <f t="shared" ref="G604:H608" si="415">G605</f>
        <v>13010900</v>
      </c>
      <c r="H604" s="21">
        <f t="shared" si="415"/>
        <v>2322125.9</v>
      </c>
      <c r="I604" s="21">
        <f t="shared" si="403"/>
        <v>10688774.1</v>
      </c>
      <c r="J604" s="21">
        <f t="shared" si="404"/>
        <v>18.71</v>
      </c>
      <c r="K604" s="21">
        <f t="shared" si="405"/>
        <v>17.850000000000001</v>
      </c>
      <c r="L604" s="21"/>
      <c r="M604" s="35"/>
      <c r="N604" s="35"/>
    </row>
    <row r="605" spans="1:14" s="7" customFormat="1" ht="15.6" x14ac:dyDescent="0.25">
      <c r="A605" s="78" t="s">
        <v>29</v>
      </c>
      <c r="B605" s="73" t="s">
        <v>65</v>
      </c>
      <c r="C605" s="56" t="s">
        <v>51</v>
      </c>
      <c r="D605" s="56" t="s">
        <v>154</v>
      </c>
      <c r="E605" s="73" t="s">
        <v>27</v>
      </c>
      <c r="F605" s="21">
        <f>F606</f>
        <v>12410900</v>
      </c>
      <c r="G605" s="21">
        <f t="shared" si="415"/>
        <v>13010900</v>
      </c>
      <c r="H605" s="21">
        <f t="shared" si="415"/>
        <v>2322125.9</v>
      </c>
      <c r="I605" s="21">
        <f t="shared" si="403"/>
        <v>10688774.1</v>
      </c>
      <c r="J605" s="21">
        <f t="shared" si="404"/>
        <v>18.71</v>
      </c>
      <c r="K605" s="21">
        <f t="shared" si="405"/>
        <v>17.850000000000001</v>
      </c>
      <c r="L605" s="21"/>
      <c r="M605" s="35"/>
      <c r="N605" s="35"/>
    </row>
    <row r="606" spans="1:14" s="9" customFormat="1" ht="62.4" x14ac:dyDescent="0.3">
      <c r="A606" s="30" t="s">
        <v>43</v>
      </c>
      <c r="B606" s="17">
        <v>996</v>
      </c>
      <c r="C606" s="34" t="s">
        <v>56</v>
      </c>
      <c r="D606" s="17" t="s">
        <v>154</v>
      </c>
      <c r="E606" s="34" t="s">
        <v>27</v>
      </c>
      <c r="F606" s="20">
        <f>F607</f>
        <v>12410900</v>
      </c>
      <c r="G606" s="20">
        <f t="shared" si="415"/>
        <v>13010900</v>
      </c>
      <c r="H606" s="20">
        <f t="shared" si="415"/>
        <v>2322125.9</v>
      </c>
      <c r="I606" s="20">
        <f t="shared" si="403"/>
        <v>10688774.1</v>
      </c>
      <c r="J606" s="20">
        <f t="shared" si="404"/>
        <v>18.71</v>
      </c>
      <c r="K606" s="20">
        <f t="shared" si="405"/>
        <v>17.850000000000001</v>
      </c>
      <c r="L606" s="20"/>
      <c r="M606" s="35"/>
      <c r="N606" s="35"/>
    </row>
    <row r="607" spans="1:14" s="9" customFormat="1" ht="46.8" x14ac:dyDescent="0.3">
      <c r="A607" s="57" t="s">
        <v>320</v>
      </c>
      <c r="B607" s="17">
        <v>996</v>
      </c>
      <c r="C607" s="34" t="s">
        <v>56</v>
      </c>
      <c r="D607" s="17" t="s">
        <v>155</v>
      </c>
      <c r="E607" s="34" t="s">
        <v>27</v>
      </c>
      <c r="F607" s="20">
        <f>F608</f>
        <v>12410900</v>
      </c>
      <c r="G607" s="20">
        <f t="shared" si="415"/>
        <v>13010900</v>
      </c>
      <c r="H607" s="20">
        <f t="shared" si="415"/>
        <v>2322125.9</v>
      </c>
      <c r="I607" s="20">
        <f t="shared" si="403"/>
        <v>10688774.1</v>
      </c>
      <c r="J607" s="20">
        <f t="shared" si="404"/>
        <v>18.71</v>
      </c>
      <c r="K607" s="20">
        <f t="shared" si="405"/>
        <v>17.850000000000001</v>
      </c>
      <c r="L607" s="20"/>
      <c r="M607" s="35"/>
      <c r="N607" s="35"/>
    </row>
    <row r="608" spans="1:14" s="7" customFormat="1" ht="31.2" x14ac:dyDescent="0.25">
      <c r="A608" s="30" t="s">
        <v>318</v>
      </c>
      <c r="B608" s="17">
        <v>996</v>
      </c>
      <c r="C608" s="34" t="s">
        <v>71</v>
      </c>
      <c r="D608" s="17" t="s">
        <v>256</v>
      </c>
      <c r="E608" s="34" t="s">
        <v>27</v>
      </c>
      <c r="F608" s="20">
        <f>F609</f>
        <v>12410900</v>
      </c>
      <c r="G608" s="20">
        <f t="shared" si="415"/>
        <v>13010900</v>
      </c>
      <c r="H608" s="20">
        <f t="shared" si="415"/>
        <v>2322125.9</v>
      </c>
      <c r="I608" s="20">
        <f t="shared" si="403"/>
        <v>10688774.1</v>
      </c>
      <c r="J608" s="20">
        <f t="shared" si="404"/>
        <v>18.71</v>
      </c>
      <c r="K608" s="20">
        <f t="shared" si="405"/>
        <v>17.850000000000001</v>
      </c>
      <c r="L608" s="20"/>
      <c r="M608" s="35"/>
      <c r="N608" s="35"/>
    </row>
    <row r="609" spans="1:14" s="7" customFormat="1" ht="15.6" x14ac:dyDescent="0.25">
      <c r="A609" s="30" t="s">
        <v>319</v>
      </c>
      <c r="B609" s="17">
        <v>996</v>
      </c>
      <c r="C609" s="34" t="s">
        <v>71</v>
      </c>
      <c r="D609" s="17" t="s">
        <v>253</v>
      </c>
      <c r="E609" s="34" t="s">
        <v>27</v>
      </c>
      <c r="F609" s="20">
        <f>F610+F614+F616</f>
        <v>12410900</v>
      </c>
      <c r="G609" s="20">
        <f t="shared" ref="G609:H609" si="416">G610+G614+G616</f>
        <v>13010900</v>
      </c>
      <c r="H609" s="20">
        <f t="shared" si="416"/>
        <v>2322125.9</v>
      </c>
      <c r="I609" s="20">
        <f t="shared" si="403"/>
        <v>10688774.1</v>
      </c>
      <c r="J609" s="20">
        <f t="shared" si="404"/>
        <v>18.71</v>
      </c>
      <c r="K609" s="20">
        <f t="shared" si="405"/>
        <v>17.850000000000001</v>
      </c>
      <c r="L609" s="20"/>
      <c r="M609" s="35"/>
      <c r="N609" s="35"/>
    </row>
    <row r="610" spans="1:14" s="7" customFormat="1" ht="31.2" x14ac:dyDescent="0.25">
      <c r="A610" s="30" t="s">
        <v>100</v>
      </c>
      <c r="B610" s="17">
        <v>996</v>
      </c>
      <c r="C610" s="34" t="s">
        <v>56</v>
      </c>
      <c r="D610" s="17" t="s">
        <v>205</v>
      </c>
      <c r="E610" s="34" t="s">
        <v>27</v>
      </c>
      <c r="F610" s="20">
        <f>F611+F612+F613</f>
        <v>7130100</v>
      </c>
      <c r="G610" s="20">
        <f t="shared" ref="G610:H610" si="417">G611+G612+G613</f>
        <v>7730100</v>
      </c>
      <c r="H610" s="20">
        <f t="shared" si="417"/>
        <v>1289416.27</v>
      </c>
      <c r="I610" s="20">
        <f t="shared" si="403"/>
        <v>6440683.7300000004</v>
      </c>
      <c r="J610" s="20">
        <f t="shared" si="404"/>
        <v>18.079999999999998</v>
      </c>
      <c r="K610" s="20">
        <f t="shared" si="405"/>
        <v>16.68</v>
      </c>
      <c r="L610" s="20"/>
      <c r="M610" s="35"/>
      <c r="N610" s="35"/>
    </row>
    <row r="611" spans="1:14" s="7" customFormat="1" ht="31.2" x14ac:dyDescent="0.25">
      <c r="A611" s="30" t="s">
        <v>127</v>
      </c>
      <c r="B611" s="17">
        <v>996</v>
      </c>
      <c r="C611" s="34" t="s">
        <v>56</v>
      </c>
      <c r="D611" s="17" t="s">
        <v>205</v>
      </c>
      <c r="E611" s="17">
        <v>120</v>
      </c>
      <c r="F611" s="24">
        <f>6823700</f>
        <v>6823700</v>
      </c>
      <c r="G611" s="24">
        <f t="shared" ref="G611" si="418">6823700+100000</f>
        <v>6923700</v>
      </c>
      <c r="H611" s="24">
        <v>1145727.27</v>
      </c>
      <c r="I611" s="24">
        <f t="shared" si="403"/>
        <v>5777972.7300000004</v>
      </c>
      <c r="J611" s="24">
        <f t="shared" si="404"/>
        <v>16.79</v>
      </c>
      <c r="K611" s="24">
        <f t="shared" si="405"/>
        <v>16.55</v>
      </c>
      <c r="L611" s="24"/>
      <c r="M611" s="35"/>
      <c r="N611" s="35"/>
    </row>
    <row r="612" spans="1:14" s="7" customFormat="1" ht="31.2" x14ac:dyDescent="0.25">
      <c r="A612" s="33" t="s">
        <v>125</v>
      </c>
      <c r="B612" s="17">
        <v>996</v>
      </c>
      <c r="C612" s="34" t="s">
        <v>56</v>
      </c>
      <c r="D612" s="17" t="s">
        <v>205</v>
      </c>
      <c r="E612" s="17">
        <v>240</v>
      </c>
      <c r="F612" s="24">
        <f>281400</f>
        <v>281400</v>
      </c>
      <c r="G612" s="24">
        <f t="shared" ref="G612" si="419">281400+500000</f>
        <v>781400</v>
      </c>
      <c r="H612" s="24">
        <v>142610</v>
      </c>
      <c r="I612" s="24">
        <f t="shared" si="403"/>
        <v>638790</v>
      </c>
      <c r="J612" s="24">
        <f t="shared" si="404"/>
        <v>50.68</v>
      </c>
      <c r="K612" s="24">
        <f t="shared" si="405"/>
        <v>18.25</v>
      </c>
      <c r="L612" s="24"/>
      <c r="M612" s="35"/>
      <c r="N612" s="35"/>
    </row>
    <row r="613" spans="1:14" s="7" customFormat="1" ht="15.6" x14ac:dyDescent="0.25">
      <c r="A613" s="33" t="s">
        <v>129</v>
      </c>
      <c r="B613" s="17">
        <v>996</v>
      </c>
      <c r="C613" s="34" t="s">
        <v>56</v>
      </c>
      <c r="D613" s="17" t="s">
        <v>205</v>
      </c>
      <c r="E613" s="17">
        <v>850</v>
      </c>
      <c r="F613" s="24">
        <v>25000</v>
      </c>
      <c r="G613" s="24">
        <v>25000</v>
      </c>
      <c r="H613" s="24">
        <v>1079</v>
      </c>
      <c r="I613" s="24">
        <f t="shared" si="403"/>
        <v>23921</v>
      </c>
      <c r="J613" s="24">
        <f t="shared" si="404"/>
        <v>4.32</v>
      </c>
      <c r="K613" s="24">
        <f t="shared" si="405"/>
        <v>4.32</v>
      </c>
      <c r="L613" s="24"/>
      <c r="M613" s="35"/>
      <c r="N613" s="35"/>
    </row>
    <row r="614" spans="1:14" s="7" customFormat="1" ht="15.6" x14ac:dyDescent="0.25">
      <c r="A614" s="30" t="s">
        <v>409</v>
      </c>
      <c r="B614" s="17">
        <v>996</v>
      </c>
      <c r="C614" s="34" t="s">
        <v>56</v>
      </c>
      <c r="D614" s="17" t="s">
        <v>206</v>
      </c>
      <c r="E614" s="34" t="s">
        <v>27</v>
      </c>
      <c r="F614" s="20">
        <f t="shared" ref="F614:H614" si="420">F615</f>
        <v>3417600</v>
      </c>
      <c r="G614" s="20">
        <f t="shared" si="420"/>
        <v>3417600</v>
      </c>
      <c r="H614" s="20">
        <f t="shared" si="420"/>
        <v>686527.42</v>
      </c>
      <c r="I614" s="20">
        <f t="shared" si="403"/>
        <v>2731072.58</v>
      </c>
      <c r="J614" s="20">
        <f t="shared" si="404"/>
        <v>20.09</v>
      </c>
      <c r="K614" s="20">
        <f t="shared" si="405"/>
        <v>20.09</v>
      </c>
      <c r="L614" s="20"/>
      <c r="M614" s="35"/>
      <c r="N614" s="35"/>
    </row>
    <row r="615" spans="1:14" s="7" customFormat="1" ht="31.2" x14ac:dyDescent="0.25">
      <c r="A615" s="30" t="s">
        <v>127</v>
      </c>
      <c r="B615" s="17">
        <v>996</v>
      </c>
      <c r="C615" s="34" t="s">
        <v>56</v>
      </c>
      <c r="D615" s="17" t="s">
        <v>206</v>
      </c>
      <c r="E615" s="17">
        <v>120</v>
      </c>
      <c r="F615" s="24">
        <v>3417600</v>
      </c>
      <c r="G615" s="24">
        <v>3417600</v>
      </c>
      <c r="H615" s="24">
        <v>686527.42</v>
      </c>
      <c r="I615" s="24">
        <f t="shared" si="403"/>
        <v>2731072.58</v>
      </c>
      <c r="J615" s="24">
        <f t="shared" si="404"/>
        <v>20.09</v>
      </c>
      <c r="K615" s="24">
        <f t="shared" si="405"/>
        <v>20.09</v>
      </c>
      <c r="L615" s="24"/>
      <c r="M615" s="35"/>
      <c r="N615" s="35"/>
    </row>
    <row r="616" spans="1:14" s="7" customFormat="1" ht="15.6" x14ac:dyDescent="0.25">
      <c r="A616" s="30" t="s">
        <v>410</v>
      </c>
      <c r="B616" s="17">
        <v>996</v>
      </c>
      <c r="C616" s="34" t="s">
        <v>56</v>
      </c>
      <c r="D616" s="17" t="s">
        <v>26</v>
      </c>
      <c r="E616" s="34" t="s">
        <v>27</v>
      </c>
      <c r="F616" s="20">
        <f t="shared" ref="F616:H616" si="421">F617</f>
        <v>1863200</v>
      </c>
      <c r="G616" s="20">
        <f t="shared" si="421"/>
        <v>1863200</v>
      </c>
      <c r="H616" s="20">
        <f t="shared" si="421"/>
        <v>346182.21</v>
      </c>
      <c r="I616" s="20">
        <f t="shared" si="403"/>
        <v>1517017.79</v>
      </c>
      <c r="J616" s="20">
        <f t="shared" si="404"/>
        <v>18.579999999999998</v>
      </c>
      <c r="K616" s="20">
        <f t="shared" si="405"/>
        <v>18.579999999999998</v>
      </c>
      <c r="L616" s="20"/>
      <c r="M616" s="35"/>
      <c r="N616" s="35"/>
    </row>
    <row r="617" spans="1:14" s="7" customFormat="1" ht="31.2" x14ac:dyDescent="0.25">
      <c r="A617" s="30" t="s">
        <v>127</v>
      </c>
      <c r="B617" s="17">
        <v>996</v>
      </c>
      <c r="C617" s="34" t="s">
        <v>56</v>
      </c>
      <c r="D617" s="17" t="s">
        <v>26</v>
      </c>
      <c r="E617" s="34" t="s">
        <v>128</v>
      </c>
      <c r="F617" s="24">
        <v>1863200</v>
      </c>
      <c r="G617" s="24">
        <v>1863200</v>
      </c>
      <c r="H617" s="24">
        <v>346182.21</v>
      </c>
      <c r="I617" s="24">
        <f t="shared" si="403"/>
        <v>1517017.79</v>
      </c>
      <c r="J617" s="24">
        <f t="shared" si="404"/>
        <v>18.579999999999998</v>
      </c>
      <c r="K617" s="24">
        <f t="shared" si="405"/>
        <v>18.579999999999998</v>
      </c>
      <c r="L617" s="24"/>
      <c r="M617" s="35"/>
      <c r="N617" s="35"/>
    </row>
    <row r="618" spans="1:14" s="7" customFormat="1" ht="46.8" x14ac:dyDescent="0.25">
      <c r="A618" s="54" t="s">
        <v>476</v>
      </c>
      <c r="B618" s="55">
        <v>998</v>
      </c>
      <c r="C618" s="56" t="s">
        <v>28</v>
      </c>
      <c r="D618" s="55" t="s">
        <v>154</v>
      </c>
      <c r="E618" s="56" t="s">
        <v>27</v>
      </c>
      <c r="F618" s="21">
        <f>F619</f>
        <v>102306465.88</v>
      </c>
      <c r="G618" s="21">
        <f t="shared" ref="G618:H622" si="422">G619</f>
        <v>115268767</v>
      </c>
      <c r="H618" s="21">
        <f t="shared" si="422"/>
        <v>33517208.100000001</v>
      </c>
      <c r="I618" s="21">
        <f t="shared" si="403"/>
        <v>81751558.900000006</v>
      </c>
      <c r="J618" s="21">
        <f t="shared" si="404"/>
        <v>32.76</v>
      </c>
      <c r="K618" s="21">
        <f t="shared" si="405"/>
        <v>29.08</v>
      </c>
      <c r="L618" s="21"/>
      <c r="M618" s="35"/>
      <c r="N618" s="35"/>
    </row>
    <row r="619" spans="1:14" s="7" customFormat="1" ht="46.8" x14ac:dyDescent="0.25">
      <c r="A619" s="54" t="s">
        <v>78</v>
      </c>
      <c r="B619" s="55">
        <v>998</v>
      </c>
      <c r="C619" s="56" t="s">
        <v>71</v>
      </c>
      <c r="D619" s="55" t="s">
        <v>154</v>
      </c>
      <c r="E619" s="56" t="s">
        <v>27</v>
      </c>
      <c r="F619" s="21">
        <f>F620</f>
        <v>102306465.88</v>
      </c>
      <c r="G619" s="21">
        <f t="shared" si="422"/>
        <v>115268767</v>
      </c>
      <c r="H619" s="21">
        <f t="shared" si="422"/>
        <v>33517208.100000001</v>
      </c>
      <c r="I619" s="21">
        <f t="shared" si="403"/>
        <v>81751558.900000006</v>
      </c>
      <c r="J619" s="21">
        <f t="shared" si="404"/>
        <v>32.76</v>
      </c>
      <c r="K619" s="21">
        <f t="shared" si="405"/>
        <v>29.08</v>
      </c>
      <c r="L619" s="21"/>
      <c r="M619" s="35"/>
      <c r="N619" s="35"/>
    </row>
    <row r="620" spans="1:14" s="7" customFormat="1" ht="46.8" x14ac:dyDescent="0.25">
      <c r="A620" s="57" t="s">
        <v>320</v>
      </c>
      <c r="B620" s="17">
        <v>998</v>
      </c>
      <c r="C620" s="34" t="s">
        <v>71</v>
      </c>
      <c r="D620" s="17" t="s">
        <v>155</v>
      </c>
      <c r="E620" s="34" t="s">
        <v>27</v>
      </c>
      <c r="F620" s="20">
        <f>F621</f>
        <v>102306465.88</v>
      </c>
      <c r="G620" s="20">
        <f t="shared" si="422"/>
        <v>115268767</v>
      </c>
      <c r="H620" s="20">
        <f t="shared" si="422"/>
        <v>33517208.100000001</v>
      </c>
      <c r="I620" s="20">
        <f t="shared" si="403"/>
        <v>81751558.900000006</v>
      </c>
      <c r="J620" s="20">
        <f t="shared" si="404"/>
        <v>32.76</v>
      </c>
      <c r="K620" s="20">
        <f t="shared" si="405"/>
        <v>29.08</v>
      </c>
      <c r="L620" s="20"/>
      <c r="M620" s="35"/>
      <c r="N620" s="35"/>
    </row>
    <row r="621" spans="1:14" s="7" customFormat="1" ht="31.2" x14ac:dyDescent="0.25">
      <c r="A621" s="30" t="s">
        <v>318</v>
      </c>
      <c r="B621" s="17">
        <v>998</v>
      </c>
      <c r="C621" s="34" t="s">
        <v>71</v>
      </c>
      <c r="D621" s="17" t="s">
        <v>256</v>
      </c>
      <c r="E621" s="34" t="s">
        <v>27</v>
      </c>
      <c r="F621" s="20">
        <f>F622</f>
        <v>102306465.88</v>
      </c>
      <c r="G621" s="20">
        <f t="shared" si="422"/>
        <v>115268767</v>
      </c>
      <c r="H621" s="20">
        <f t="shared" si="422"/>
        <v>33517208.100000001</v>
      </c>
      <c r="I621" s="20">
        <f t="shared" si="403"/>
        <v>81751558.900000006</v>
      </c>
      <c r="J621" s="20">
        <f t="shared" si="404"/>
        <v>32.76</v>
      </c>
      <c r="K621" s="20">
        <f t="shared" si="405"/>
        <v>29.08</v>
      </c>
      <c r="L621" s="20"/>
      <c r="M621" s="35"/>
      <c r="N621" s="35"/>
    </row>
    <row r="622" spans="1:14" s="7" customFormat="1" ht="15.6" x14ac:dyDescent="0.25">
      <c r="A622" s="30" t="s">
        <v>319</v>
      </c>
      <c r="B622" s="17">
        <v>998</v>
      </c>
      <c r="C622" s="34" t="s">
        <v>71</v>
      </c>
      <c r="D622" s="17" t="s">
        <v>253</v>
      </c>
      <c r="E622" s="34" t="s">
        <v>27</v>
      </c>
      <c r="F622" s="20">
        <f>F623</f>
        <v>102306465.88</v>
      </c>
      <c r="G622" s="20">
        <f t="shared" si="422"/>
        <v>115268767</v>
      </c>
      <c r="H622" s="20">
        <f t="shared" si="422"/>
        <v>33517208.100000001</v>
      </c>
      <c r="I622" s="20">
        <f t="shared" si="403"/>
        <v>81751558.900000006</v>
      </c>
      <c r="J622" s="20">
        <f t="shared" si="404"/>
        <v>32.76</v>
      </c>
      <c r="K622" s="20">
        <f t="shared" si="405"/>
        <v>29.08</v>
      </c>
      <c r="L622" s="20"/>
      <c r="M622" s="35"/>
      <c r="N622" s="35"/>
    </row>
    <row r="623" spans="1:14" s="7" customFormat="1" ht="46.8" x14ac:dyDescent="0.25">
      <c r="A623" s="30" t="s">
        <v>119</v>
      </c>
      <c r="B623" s="17">
        <v>998</v>
      </c>
      <c r="C623" s="34" t="s">
        <v>71</v>
      </c>
      <c r="D623" s="17" t="s">
        <v>211</v>
      </c>
      <c r="E623" s="34" t="s">
        <v>27</v>
      </c>
      <c r="F623" s="20">
        <f>F624+F625+F626+F627</f>
        <v>102306465.88</v>
      </c>
      <c r="G623" s="20">
        <f t="shared" ref="G623:H623" si="423">G624+G625+G626+G627</f>
        <v>115268767</v>
      </c>
      <c r="H623" s="20">
        <f t="shared" si="423"/>
        <v>33517208.100000001</v>
      </c>
      <c r="I623" s="20">
        <f t="shared" si="403"/>
        <v>81751558.900000006</v>
      </c>
      <c r="J623" s="20">
        <f t="shared" si="404"/>
        <v>32.76</v>
      </c>
      <c r="K623" s="20">
        <f t="shared" si="405"/>
        <v>29.08</v>
      </c>
      <c r="L623" s="20"/>
      <c r="M623" s="35"/>
      <c r="N623" s="35"/>
    </row>
    <row r="624" spans="1:14" s="7" customFormat="1" ht="15.6" x14ac:dyDescent="0.25">
      <c r="A624" s="33" t="s">
        <v>140</v>
      </c>
      <c r="B624" s="17">
        <v>998</v>
      </c>
      <c r="C624" s="34" t="s">
        <v>71</v>
      </c>
      <c r="D624" s="17" t="s">
        <v>211</v>
      </c>
      <c r="E624" s="34" t="s">
        <v>141</v>
      </c>
      <c r="F624" s="24">
        <v>86414862</v>
      </c>
      <c r="G624" s="24">
        <v>86414862</v>
      </c>
      <c r="H624" s="24">
        <v>21099359.420000002</v>
      </c>
      <c r="I624" s="24">
        <f t="shared" si="403"/>
        <v>65315502.579999998</v>
      </c>
      <c r="J624" s="24">
        <f t="shared" si="404"/>
        <v>24.42</v>
      </c>
      <c r="K624" s="24">
        <f t="shared" si="405"/>
        <v>24.42</v>
      </c>
      <c r="L624" s="24"/>
      <c r="M624" s="35"/>
      <c r="N624" s="35"/>
    </row>
    <row r="625" spans="1:14" s="7" customFormat="1" ht="31.2" x14ac:dyDescent="0.25">
      <c r="A625" s="33" t="s">
        <v>125</v>
      </c>
      <c r="B625" s="17">
        <v>998</v>
      </c>
      <c r="C625" s="34" t="s">
        <v>71</v>
      </c>
      <c r="D625" s="17" t="s">
        <v>211</v>
      </c>
      <c r="E625" s="34" t="s">
        <v>126</v>
      </c>
      <c r="F625" s="24">
        <f>15747603.88</f>
        <v>15747603.880000001</v>
      </c>
      <c r="G625" s="24">
        <f t="shared" ref="G625" si="424">15747603.88+11662301.12+1300000</f>
        <v>28709905</v>
      </c>
      <c r="H625" s="24">
        <v>12288371.470000001</v>
      </c>
      <c r="I625" s="24">
        <f t="shared" si="403"/>
        <v>16421533.529999999</v>
      </c>
      <c r="J625" s="24">
        <f t="shared" si="404"/>
        <v>78.03</v>
      </c>
      <c r="K625" s="24">
        <f t="shared" si="405"/>
        <v>42.8</v>
      </c>
      <c r="L625" s="24"/>
      <c r="M625" s="35"/>
      <c r="N625" s="35"/>
    </row>
    <row r="626" spans="1:14" s="7" customFormat="1" ht="15.6" x14ac:dyDescent="0.25">
      <c r="A626" s="52" t="s">
        <v>186</v>
      </c>
      <c r="B626" s="17">
        <v>998</v>
      </c>
      <c r="C626" s="34" t="s">
        <v>71</v>
      </c>
      <c r="D626" s="17" t="s">
        <v>211</v>
      </c>
      <c r="E626" s="34" t="s">
        <v>131</v>
      </c>
      <c r="F626" s="24">
        <v>30000</v>
      </c>
      <c r="G626" s="24">
        <v>30000</v>
      </c>
      <c r="H626" s="24">
        <v>22474.32</v>
      </c>
      <c r="I626" s="24">
        <f t="shared" si="403"/>
        <v>7525.68</v>
      </c>
      <c r="J626" s="24">
        <f t="shared" si="404"/>
        <v>74.91</v>
      </c>
      <c r="K626" s="24">
        <f t="shared" si="405"/>
        <v>74.91</v>
      </c>
      <c r="L626" s="24"/>
      <c r="M626" s="35"/>
      <c r="N626" s="35"/>
    </row>
    <row r="627" spans="1:14" s="7" customFormat="1" ht="15.6" x14ac:dyDescent="0.25">
      <c r="A627" s="33" t="s">
        <v>129</v>
      </c>
      <c r="B627" s="17">
        <v>998</v>
      </c>
      <c r="C627" s="34" t="s">
        <v>71</v>
      </c>
      <c r="D627" s="17" t="s">
        <v>211</v>
      </c>
      <c r="E627" s="34" t="s">
        <v>142</v>
      </c>
      <c r="F627" s="24">
        <v>114000</v>
      </c>
      <c r="G627" s="24">
        <v>114000</v>
      </c>
      <c r="H627" s="24">
        <v>107002.89</v>
      </c>
      <c r="I627" s="24">
        <f t="shared" si="403"/>
        <v>6997.11</v>
      </c>
      <c r="J627" s="24">
        <f t="shared" si="404"/>
        <v>93.86</v>
      </c>
      <c r="K627" s="24">
        <f t="shared" si="405"/>
        <v>93.86</v>
      </c>
      <c r="L627" s="24"/>
      <c r="M627" s="35"/>
      <c r="N627" s="35"/>
    </row>
    <row r="628" spans="1:14" s="7" customFormat="1" ht="16.2" thickBot="1" x14ac:dyDescent="0.3">
      <c r="A628" s="79" t="s">
        <v>66</v>
      </c>
      <c r="B628" s="80"/>
      <c r="C628" s="81"/>
      <c r="D628" s="80"/>
      <c r="E628" s="81"/>
      <c r="F628" s="29">
        <f>F9+F19+F415+F485+F604+F618</f>
        <v>1493319295.72</v>
      </c>
      <c r="G628" s="29">
        <f t="shared" ref="G628:H628" si="425">G9+G19+G415+G485+G604+G618</f>
        <v>1572535401.4300001</v>
      </c>
      <c r="H628" s="21">
        <f t="shared" si="425"/>
        <v>350697891.04000002</v>
      </c>
      <c r="I628" s="21">
        <f t="shared" si="403"/>
        <v>1221837510.3900001</v>
      </c>
      <c r="J628" s="21">
        <f t="shared" si="404"/>
        <v>23.48</v>
      </c>
      <c r="K628" s="21">
        <f t="shared" si="405"/>
        <v>22.3</v>
      </c>
      <c r="L628" s="21"/>
      <c r="M628" s="35"/>
      <c r="N628" s="35"/>
    </row>
    <row r="629" spans="1:14" s="7" customFormat="1" ht="15" x14ac:dyDescent="0.25">
      <c r="G629" s="11"/>
      <c r="I629" s="10"/>
      <c r="J629" s="5"/>
      <c r="N629" s="6"/>
    </row>
    <row r="630" spans="1:14" s="9" customFormat="1" ht="18.75" customHeight="1" x14ac:dyDescent="0.3">
      <c r="A630" s="7"/>
      <c r="B630" s="7"/>
      <c r="C630" s="7"/>
      <c r="D630" s="7"/>
      <c r="E630" s="7"/>
      <c r="F630" s="7"/>
      <c r="G630" s="11"/>
      <c r="I630" s="10"/>
      <c r="J630" s="5"/>
      <c r="N630" s="8"/>
    </row>
    <row r="631" spans="1:14" s="9" customFormat="1" ht="23.7" customHeight="1" x14ac:dyDescent="0.3">
      <c r="A631" s="7"/>
      <c r="B631" s="7"/>
      <c r="C631" s="7"/>
      <c r="D631" s="7"/>
      <c r="E631" s="7"/>
      <c r="F631" s="7"/>
      <c r="G631" s="11"/>
      <c r="I631" s="10"/>
      <c r="J631" s="5"/>
      <c r="N631" s="8"/>
    </row>
    <row r="632" spans="1:14" s="9" customFormat="1" ht="15" customHeight="1" x14ac:dyDescent="0.3">
      <c r="A632" s="7"/>
      <c r="B632" s="7"/>
      <c r="C632" s="7"/>
      <c r="D632" s="7"/>
      <c r="E632" s="7"/>
      <c r="F632" s="7"/>
      <c r="G632" s="11"/>
      <c r="I632" s="10"/>
      <c r="J632" s="5"/>
      <c r="N632" s="8"/>
    </row>
    <row r="633" spans="1:14" s="9" customFormat="1" ht="15.6" x14ac:dyDescent="0.3">
      <c r="A633" s="7"/>
      <c r="B633" s="7"/>
      <c r="C633" s="7"/>
      <c r="D633" s="7"/>
      <c r="E633" s="7"/>
      <c r="F633" s="7"/>
      <c r="G633" s="11"/>
      <c r="I633" s="10"/>
      <c r="J633" s="5"/>
      <c r="N633" s="8"/>
    </row>
    <row r="634" spans="1:14" s="9" customFormat="1" ht="15.9" customHeight="1" x14ac:dyDescent="0.3">
      <c r="A634" s="7"/>
      <c r="B634" s="7"/>
      <c r="C634" s="7"/>
      <c r="D634" s="7"/>
      <c r="E634" s="7"/>
      <c r="F634" s="7"/>
      <c r="G634" s="11"/>
      <c r="I634" s="10"/>
      <c r="J634" s="5"/>
      <c r="N634" s="8"/>
    </row>
    <row r="635" spans="1:14" ht="15" x14ac:dyDescent="0.25">
      <c r="A635" s="7"/>
      <c r="B635" s="7"/>
      <c r="C635" s="7"/>
      <c r="D635" s="7"/>
      <c r="E635" s="7"/>
      <c r="F635" s="7"/>
      <c r="G635" s="11"/>
    </row>
    <row r="636" spans="1:14" ht="12.9" customHeight="1" x14ac:dyDescent="0.25">
      <c r="A636" s="7"/>
      <c r="B636" s="7"/>
      <c r="C636" s="7"/>
      <c r="D636" s="7"/>
      <c r="E636" s="7"/>
      <c r="F636" s="7"/>
      <c r="G636" s="11"/>
    </row>
    <row r="637" spans="1:14" ht="15" x14ac:dyDescent="0.25">
      <c r="A637" s="7"/>
      <c r="B637" s="7"/>
      <c r="C637" s="7"/>
      <c r="D637" s="7"/>
      <c r="E637" s="7"/>
      <c r="F637" s="7"/>
      <c r="G637" s="11"/>
    </row>
    <row r="638" spans="1:14" ht="15" x14ac:dyDescent="0.25">
      <c r="A638" s="7"/>
      <c r="B638" s="7"/>
      <c r="C638" s="7"/>
      <c r="D638" s="7"/>
      <c r="E638" s="7"/>
      <c r="F638" s="7"/>
      <c r="G638" s="11"/>
    </row>
  </sheetData>
  <mergeCells count="5">
    <mergeCell ref="J1:L1"/>
    <mergeCell ref="J2:L2"/>
    <mergeCell ref="J3:L3"/>
    <mergeCell ref="J4:L4"/>
    <mergeCell ref="A5:L5"/>
  </mergeCells>
  <pageMargins left="0.98425196850393704" right="0.59055118110236227" top="0.35433070866141736" bottom="0.43307086614173229" header="0.15748031496062992" footer="0.31496062992125984"/>
  <pageSetup paperSize="9" scale="54" fitToHeight="40" orientation="landscape" r:id="rId1"/>
  <headerFooter alignWithMargins="0">
    <oddHeader>&amp;R&amp;P</oddHeader>
  </headerFooter>
  <rowBreaks count="2" manualBreakCount="2">
    <brk id="618" max="12" man="1"/>
    <brk id="6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1 квартал</vt:lpstr>
      <vt:lpstr>'Расходы 1 квартал'!Область_печати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Пользователь Windows</cp:lastModifiedBy>
  <cp:lastPrinted>2024-12-19T04:24:16Z</cp:lastPrinted>
  <dcterms:created xsi:type="dcterms:W3CDTF">2002-10-08T15:02:13Z</dcterms:created>
  <dcterms:modified xsi:type="dcterms:W3CDTF">2025-05-06T04:11:00Z</dcterms:modified>
</cp:coreProperties>
</file>