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08" yWindow="-252" windowWidth="13212" windowHeight="11856" tabRatio="599"/>
  </bookViews>
  <sheets>
    <sheet name="пограммная 1 чтение" sheetId="18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'пограммная 1 чтение'!$A$8:$F$291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'пограммная 1 чтение'!$A$1:$H$291</definedName>
  </definedNames>
  <calcPr calcId="145621" fullPrecision="0"/>
</workbook>
</file>

<file path=xl/calcChain.xml><?xml version="1.0" encoding="utf-8"?>
<calcChain xmlns="http://schemas.openxmlformats.org/spreadsheetml/2006/main">
  <c r="C274" i="18" l="1"/>
  <c r="C290" i="18"/>
  <c r="C289" i="18"/>
  <c r="C287" i="18"/>
  <c r="C286" i="18"/>
  <c r="C284" i="18"/>
  <c r="C283" i="18"/>
  <c r="C282" i="18"/>
  <c r="C281" i="18"/>
  <c r="C280" i="18"/>
  <c r="C277" i="18"/>
  <c r="C276" i="18"/>
  <c r="C273" i="18"/>
  <c r="C269" i="18"/>
  <c r="C265" i="18"/>
  <c r="C264" i="18"/>
  <c r="C256" i="18"/>
  <c r="C252" i="18"/>
  <c r="C250" i="18"/>
  <c r="C245" i="18"/>
  <c r="C201" i="18"/>
  <c r="C172" i="18"/>
  <c r="C166" i="18"/>
  <c r="C165" i="18"/>
  <c r="C153" i="18"/>
  <c r="C149" i="18"/>
  <c r="C142" i="18"/>
  <c r="C140" i="18"/>
  <c r="C135" i="18"/>
  <c r="C134" i="18"/>
  <c r="C124" i="18"/>
  <c r="C123" i="18"/>
  <c r="C122" i="18"/>
  <c r="C118" i="18"/>
  <c r="C98" i="18"/>
  <c r="C97" i="18"/>
  <c r="C96" i="18"/>
  <c r="C95" i="18"/>
  <c r="C90" i="18"/>
  <c r="C86" i="18"/>
  <c r="C73" i="18"/>
  <c r="C71" i="18"/>
  <c r="C62" i="18"/>
  <c r="C53" i="18"/>
  <c r="C48" i="18"/>
  <c r="C46" i="18"/>
  <c r="C43" i="18"/>
  <c r="C42" i="18"/>
  <c r="C38" i="18"/>
  <c r="C31" i="18"/>
  <c r="C27" i="18"/>
  <c r="C26" i="18"/>
  <c r="C25" i="18"/>
  <c r="C24" i="18"/>
  <c r="C21" i="18"/>
  <c r="C20" i="18"/>
  <c r="C18" i="18"/>
  <c r="C16" i="18"/>
  <c r="C15" i="18" l="1"/>
  <c r="C14" i="18"/>
  <c r="F264" i="18" l="1"/>
  <c r="F265" i="18"/>
  <c r="F266" i="18"/>
  <c r="F267" i="18"/>
  <c r="F268" i="18"/>
  <c r="F269" i="18"/>
  <c r="H290" i="18" l="1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0" i="18"/>
  <c r="H256" i="18"/>
  <c r="H255" i="18"/>
  <c r="H253" i="18"/>
  <c r="H252" i="18"/>
  <c r="H250" i="18"/>
  <c r="H249" i="18"/>
  <c r="H248" i="18"/>
  <c r="H247" i="18"/>
  <c r="H245" i="18"/>
  <c r="H244" i="18"/>
  <c r="H241" i="18"/>
  <c r="H240" i="18"/>
  <c r="H237" i="18"/>
  <c r="H233" i="18"/>
  <c r="H232" i="18"/>
  <c r="H226" i="18"/>
  <c r="H222" i="18"/>
  <c r="H220" i="18"/>
  <c r="H216" i="18"/>
  <c r="H212" i="18"/>
  <c r="H209" i="18"/>
  <c r="H207" i="18"/>
  <c r="H205" i="18"/>
  <c r="H201" i="18"/>
  <c r="H192" i="18"/>
  <c r="H191" i="18"/>
  <c r="H189" i="18"/>
  <c r="H188" i="18"/>
  <c r="H185" i="18"/>
  <c r="H184" i="18"/>
  <c r="H183" i="18"/>
  <c r="H182" i="18"/>
  <c r="H181" i="18"/>
  <c r="H177" i="18"/>
  <c r="H176" i="18"/>
  <c r="H175" i="18"/>
  <c r="H172" i="18"/>
  <c r="H164" i="18"/>
  <c r="H163" i="18"/>
  <c r="H162" i="18"/>
  <c r="H161" i="18"/>
  <c r="H160" i="18"/>
  <c r="H156" i="18"/>
  <c r="H155" i="18"/>
  <c r="H154" i="18"/>
  <c r="H153" i="18"/>
  <c r="H149" i="18"/>
  <c r="H148" i="18"/>
  <c r="H145" i="18"/>
  <c r="H144" i="18"/>
  <c r="H142" i="18"/>
  <c r="H140" i="18"/>
  <c r="H139" i="18"/>
  <c r="H136" i="18"/>
  <c r="H135" i="18"/>
  <c r="H134" i="18"/>
  <c r="H133" i="18"/>
  <c r="H132" i="18"/>
  <c r="H129" i="18"/>
  <c r="H124" i="18"/>
  <c r="H123" i="18"/>
  <c r="H119" i="18"/>
  <c r="H118" i="18"/>
  <c r="H115" i="18"/>
  <c r="H110" i="18"/>
  <c r="H104" i="18"/>
  <c r="H103" i="18"/>
  <c r="H102" i="18"/>
  <c r="H101" i="18"/>
  <c r="H100" i="18"/>
  <c r="H99" i="18"/>
  <c r="H98" i="18"/>
  <c r="H97" i="18"/>
  <c r="H96" i="18"/>
  <c r="H95" i="18"/>
  <c r="H94" i="18"/>
  <c r="H91" i="18"/>
  <c r="H90" i="18"/>
  <c r="H87" i="18"/>
  <c r="H86" i="18"/>
  <c r="H82" i="18"/>
  <c r="H79" i="18"/>
  <c r="H77" i="18"/>
  <c r="H76" i="18"/>
  <c r="H73" i="18"/>
  <c r="H71" i="18"/>
  <c r="H67" i="18"/>
  <c r="H66" i="18"/>
  <c r="H65" i="18"/>
  <c r="H64" i="18"/>
  <c r="H57" i="18"/>
  <c r="H56" i="18"/>
  <c r="H55" i="18"/>
  <c r="H53" i="18"/>
  <c r="H50" i="18"/>
  <c r="H49" i="18"/>
  <c r="H48" i="18"/>
  <c r="H46" i="18"/>
  <c r="H36" i="18"/>
  <c r="H35" i="18"/>
  <c r="H34" i="18"/>
  <c r="H33" i="18"/>
  <c r="H31" i="18"/>
  <c r="H30" i="18"/>
  <c r="H29" i="18"/>
  <c r="H27" i="18"/>
  <c r="H26" i="18"/>
  <c r="H25" i="18"/>
  <c r="H16" i="18"/>
  <c r="H15" i="18"/>
  <c r="H14" i="18"/>
  <c r="H10" i="18"/>
  <c r="G290" i="18"/>
  <c r="G289" i="18"/>
  <c r="G288" i="18"/>
  <c r="G287" i="18"/>
  <c r="G286" i="18"/>
  <c r="G285" i="18"/>
  <c r="G284" i="18"/>
  <c r="G283" i="18"/>
  <c r="G282" i="18"/>
  <c r="G281" i="18"/>
  <c r="G280" i="18"/>
  <c r="G277" i="18"/>
  <c r="G276" i="18"/>
  <c r="G274" i="18"/>
  <c r="G273" i="18"/>
  <c r="G272" i="18"/>
  <c r="G271" i="18"/>
  <c r="G270" i="18"/>
  <c r="G269" i="18"/>
  <c r="G268" i="18"/>
  <c r="G267" i="18"/>
  <c r="G266" i="18"/>
  <c r="G265" i="18"/>
  <c r="G264" i="18"/>
  <c r="G260" i="18"/>
  <c r="G256" i="18"/>
  <c r="G255" i="18"/>
  <c r="G253" i="18"/>
  <c r="G252" i="18"/>
  <c r="G250" i="18"/>
  <c r="G248" i="18"/>
  <c r="G245" i="18"/>
  <c r="G241" i="18"/>
  <c r="G240" i="18"/>
  <c r="G237" i="18"/>
  <c r="G222" i="18"/>
  <c r="G220" i="18"/>
  <c r="G216" i="18"/>
  <c r="G212" i="18"/>
  <c r="G209" i="18"/>
  <c r="G207" i="18"/>
  <c r="G205" i="18"/>
  <c r="G201" i="18"/>
  <c r="G192" i="18"/>
  <c r="G191" i="18"/>
  <c r="G189" i="18"/>
  <c r="G188" i="18"/>
  <c r="G185" i="18"/>
  <c r="G184" i="18"/>
  <c r="G183" i="18"/>
  <c r="G182" i="18"/>
  <c r="G181" i="18"/>
  <c r="G177" i="18"/>
  <c r="G176" i="18"/>
  <c r="G175" i="18"/>
  <c r="G172" i="18"/>
  <c r="G166" i="18"/>
  <c r="G165" i="18"/>
  <c r="G164" i="18"/>
  <c r="G163" i="18"/>
  <c r="G162" i="18"/>
  <c r="G161" i="18"/>
  <c r="G160" i="18"/>
  <c r="G155" i="18"/>
  <c r="G153" i="18"/>
  <c r="G149" i="18"/>
  <c r="G148" i="18"/>
  <c r="G145" i="18"/>
  <c r="G144" i="18"/>
  <c r="G142" i="18"/>
  <c r="G140" i="18"/>
  <c r="G139" i="18"/>
  <c r="G135" i="18"/>
  <c r="G134" i="18"/>
  <c r="G133" i="18"/>
  <c r="G132" i="18"/>
  <c r="G124" i="18"/>
  <c r="G123" i="18"/>
  <c r="G122" i="18"/>
  <c r="G119" i="18"/>
  <c r="G118" i="18"/>
  <c r="G115" i="18"/>
  <c r="G110" i="18"/>
  <c r="G104" i="18"/>
  <c r="G103" i="18"/>
  <c r="G102" i="18"/>
  <c r="G101" i="18"/>
  <c r="G100" i="18"/>
  <c r="G99" i="18"/>
  <c r="G98" i="18"/>
  <c r="G97" i="18"/>
  <c r="G96" i="18"/>
  <c r="G95" i="18"/>
  <c r="G91" i="18"/>
  <c r="G90" i="18"/>
  <c r="G87" i="18"/>
  <c r="G86" i="18"/>
  <c r="G82" i="18"/>
  <c r="G79" i="18"/>
  <c r="G77" i="18"/>
  <c r="G76" i="18"/>
  <c r="G73" i="18"/>
  <c r="G71" i="18"/>
  <c r="G62" i="18"/>
  <c r="G60" i="18"/>
  <c r="G57" i="18"/>
  <c r="G56" i="18"/>
  <c r="G55" i="18"/>
  <c r="G53" i="18"/>
  <c r="G50" i="18"/>
  <c r="G49" i="18"/>
  <c r="G48" i="18"/>
  <c r="G46" i="18"/>
  <c r="G43" i="18"/>
  <c r="G42" i="18"/>
  <c r="G38" i="18"/>
  <c r="G36" i="18"/>
  <c r="G34" i="18"/>
  <c r="G31" i="18"/>
  <c r="G30" i="18"/>
  <c r="G29" i="18"/>
  <c r="G27" i="18"/>
  <c r="G26" i="18"/>
  <c r="G25" i="18"/>
  <c r="G24" i="18"/>
  <c r="G21" i="18"/>
  <c r="G20" i="18"/>
  <c r="G18" i="18"/>
  <c r="G16" i="18"/>
  <c r="G15" i="18"/>
  <c r="G14" i="18"/>
  <c r="G10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0" i="18"/>
  <c r="F256" i="18"/>
  <c r="F255" i="18"/>
  <c r="F253" i="18"/>
  <c r="F252" i="18"/>
  <c r="F250" i="18"/>
  <c r="F249" i="18"/>
  <c r="F248" i="18"/>
  <c r="F247" i="18"/>
  <c r="F245" i="18"/>
  <c r="F244" i="18"/>
  <c r="F241" i="18"/>
  <c r="F240" i="18"/>
  <c r="F237" i="18"/>
  <c r="F236" i="18"/>
  <c r="F233" i="18"/>
  <c r="F232" i="18"/>
  <c r="F228" i="18"/>
  <c r="F227" i="18"/>
  <c r="F226" i="18"/>
  <c r="F222" i="18"/>
  <c r="F220" i="18"/>
  <c r="F216" i="18"/>
  <c r="F212" i="18"/>
  <c r="F209" i="18"/>
  <c r="F207" i="18"/>
  <c r="F205" i="18"/>
  <c r="F201" i="18"/>
  <c r="F197" i="18"/>
  <c r="F196" i="18"/>
  <c r="F195" i="18"/>
  <c r="F194" i="18"/>
  <c r="F193" i="18"/>
  <c r="F192" i="18"/>
  <c r="F191" i="18"/>
  <c r="F189" i="18"/>
  <c r="F188" i="18"/>
  <c r="F185" i="18"/>
  <c r="F184" i="18"/>
  <c r="F183" i="18"/>
  <c r="F182" i="18"/>
  <c r="F181" i="18"/>
  <c r="F177" i="18"/>
  <c r="F176" i="18"/>
  <c r="F175" i="18"/>
  <c r="F172" i="18"/>
  <c r="F168" i="18"/>
  <c r="F167" i="18"/>
  <c r="F166" i="18"/>
  <c r="F165" i="18"/>
  <c r="F164" i="18"/>
  <c r="F163" i="18"/>
  <c r="F162" i="18"/>
  <c r="F161" i="18"/>
  <c r="F160" i="18"/>
  <c r="F156" i="18"/>
  <c r="F155" i="18"/>
  <c r="F154" i="18"/>
  <c r="F153" i="18"/>
  <c r="F149" i="18"/>
  <c r="F148" i="18"/>
  <c r="F145" i="18"/>
  <c r="F144" i="18"/>
  <c r="F142" i="18"/>
  <c r="F140" i="18"/>
  <c r="F139" i="18"/>
  <c r="F138" i="18"/>
  <c r="F136" i="18"/>
  <c r="F135" i="18"/>
  <c r="F134" i="18"/>
  <c r="F133" i="18"/>
  <c r="F132" i="18"/>
  <c r="F130" i="18"/>
  <c r="F129" i="18"/>
  <c r="F128" i="18"/>
  <c r="F127" i="18"/>
  <c r="F124" i="18"/>
  <c r="F123" i="18"/>
  <c r="F122" i="18"/>
  <c r="F119" i="18"/>
  <c r="F118" i="18"/>
  <c r="F115" i="18"/>
  <c r="F111" i="18"/>
  <c r="F110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1" i="18"/>
  <c r="F90" i="18"/>
  <c r="F87" i="18"/>
  <c r="F86" i="18"/>
  <c r="F82" i="18"/>
  <c r="F79" i="18"/>
  <c r="F77" i="18"/>
  <c r="F76" i="18"/>
  <c r="F73" i="18"/>
  <c r="F71" i="18"/>
  <c r="F67" i="18"/>
  <c r="F66" i="18"/>
  <c r="F65" i="18"/>
  <c r="F64" i="18"/>
  <c r="F62" i="18"/>
  <c r="F61" i="18"/>
  <c r="F60" i="18"/>
  <c r="F59" i="18"/>
  <c r="F57" i="18"/>
  <c r="F56" i="18"/>
  <c r="F55" i="18"/>
  <c r="F53" i="18"/>
  <c r="F50" i="18"/>
  <c r="F49" i="18"/>
  <c r="F48" i="18"/>
  <c r="F46" i="18"/>
  <c r="F43" i="18"/>
  <c r="F42" i="18"/>
  <c r="F41" i="18"/>
  <c r="F40" i="18"/>
  <c r="F39" i="18"/>
  <c r="F38" i="18"/>
  <c r="F37" i="18"/>
  <c r="F36" i="18"/>
  <c r="F35" i="18"/>
  <c r="F34" i="18"/>
  <c r="F33" i="18"/>
  <c r="F31" i="18"/>
  <c r="F30" i="18"/>
  <c r="F29" i="18"/>
  <c r="F27" i="18"/>
  <c r="F26" i="18"/>
  <c r="F25" i="18"/>
  <c r="F24" i="18"/>
  <c r="F21" i="18"/>
  <c r="F20" i="18"/>
  <c r="F19" i="18"/>
  <c r="F18" i="18"/>
  <c r="F17" i="18"/>
  <c r="F16" i="18"/>
  <c r="F15" i="18"/>
  <c r="F14" i="18"/>
  <c r="F10" i="18"/>
  <c r="D9" i="18" l="1"/>
  <c r="D8" i="18" s="1"/>
  <c r="E9" i="18"/>
  <c r="E13" i="18"/>
  <c r="D14" i="18"/>
  <c r="D13" i="18" s="1"/>
  <c r="D15" i="18"/>
  <c r="D16" i="18"/>
  <c r="E17" i="18"/>
  <c r="D18" i="18"/>
  <c r="D17" i="18" s="1"/>
  <c r="E18" i="18"/>
  <c r="D20" i="18"/>
  <c r="E20" i="18"/>
  <c r="D21" i="18"/>
  <c r="D19" i="18" s="1"/>
  <c r="E21" i="18"/>
  <c r="E19" i="18" s="1"/>
  <c r="D24" i="18"/>
  <c r="D23" i="18" s="1"/>
  <c r="E24" i="18"/>
  <c r="E23" i="18" s="1"/>
  <c r="D25" i="18"/>
  <c r="D26" i="18"/>
  <c r="D27" i="18"/>
  <c r="D31" i="18"/>
  <c r="D28" i="18" s="1"/>
  <c r="E28" i="18"/>
  <c r="D33" i="18"/>
  <c r="D35" i="18"/>
  <c r="D38" i="18"/>
  <c r="E38" i="18"/>
  <c r="D39" i="18"/>
  <c r="D32" i="18" s="1"/>
  <c r="E39" i="18"/>
  <c r="E32" i="18" s="1"/>
  <c r="D40" i="18"/>
  <c r="E40" i="18"/>
  <c r="D42" i="18"/>
  <c r="D41" i="18" s="1"/>
  <c r="E42" i="18"/>
  <c r="E41" i="18" s="1"/>
  <c r="D43" i="18"/>
  <c r="E43" i="18"/>
  <c r="D46" i="18"/>
  <c r="D45" i="18" s="1"/>
  <c r="D44" i="18" s="1"/>
  <c r="E45" i="18"/>
  <c r="D47" i="18"/>
  <c r="D48" i="18"/>
  <c r="E47" i="18"/>
  <c r="E52" i="18"/>
  <c r="D53" i="18"/>
  <c r="D52" i="18" s="1"/>
  <c r="D51" i="18" s="1"/>
  <c r="D54" i="18"/>
  <c r="E54" i="18"/>
  <c r="E59" i="18"/>
  <c r="D60" i="18"/>
  <c r="D59" i="18" s="1"/>
  <c r="E60" i="18"/>
  <c r="D61" i="18"/>
  <c r="D62" i="18"/>
  <c r="E62" i="18"/>
  <c r="E61" i="18" s="1"/>
  <c r="D64" i="18"/>
  <c r="D63" i="18" s="1"/>
  <c r="D65" i="18"/>
  <c r="D66" i="18"/>
  <c r="D67" i="18"/>
  <c r="E63" i="18"/>
  <c r="D71" i="18"/>
  <c r="D70" i="18" s="1"/>
  <c r="D69" i="18" s="1"/>
  <c r="E70" i="18"/>
  <c r="D72" i="18"/>
  <c r="D73" i="18"/>
  <c r="E72" i="18"/>
  <c r="D75" i="18"/>
  <c r="D74" i="18" s="1"/>
  <c r="E75" i="18"/>
  <c r="D78" i="18"/>
  <c r="E78" i="18"/>
  <c r="D81" i="18"/>
  <c r="D80" i="18" s="1"/>
  <c r="E81" i="18"/>
  <c r="D86" i="18"/>
  <c r="D85" i="18" s="1"/>
  <c r="D84" i="18" s="1"/>
  <c r="E85" i="18"/>
  <c r="D89" i="18"/>
  <c r="D88" i="18" s="1"/>
  <c r="D90" i="18"/>
  <c r="E89" i="18"/>
  <c r="D94" i="18"/>
  <c r="D95" i="18"/>
  <c r="D96" i="18"/>
  <c r="D97" i="18"/>
  <c r="D93" i="18" s="1"/>
  <c r="D92" i="18" s="1"/>
  <c r="E93" i="18"/>
  <c r="D98" i="18"/>
  <c r="D105" i="18"/>
  <c r="E105" i="18"/>
  <c r="D109" i="18"/>
  <c r="D108" i="18" s="1"/>
  <c r="E109" i="18"/>
  <c r="D115" i="18"/>
  <c r="D114" i="18" s="1"/>
  <c r="D113" i="18" s="1"/>
  <c r="E114" i="18"/>
  <c r="D116" i="18"/>
  <c r="D118" i="18"/>
  <c r="D117" i="18" s="1"/>
  <c r="E117" i="18"/>
  <c r="D121" i="18"/>
  <c r="D120" i="18" s="1"/>
  <c r="D122" i="18"/>
  <c r="E122" i="18"/>
  <c r="E121" i="18" s="1"/>
  <c r="D123" i="18"/>
  <c r="D124" i="18"/>
  <c r="D127" i="18"/>
  <c r="D126" i="18" s="1"/>
  <c r="E127" i="18"/>
  <c r="E126" i="18" s="1"/>
  <c r="E131" i="18"/>
  <c r="D134" i="18"/>
  <c r="D131" i="18" s="1"/>
  <c r="D125" i="18" s="1"/>
  <c r="D136" i="18"/>
  <c r="E137" i="18"/>
  <c r="D140" i="18"/>
  <c r="D137" i="18" s="1"/>
  <c r="D142" i="18"/>
  <c r="D141" i="18" s="1"/>
  <c r="E141" i="18"/>
  <c r="D143" i="18"/>
  <c r="E143" i="18"/>
  <c r="D149" i="18"/>
  <c r="D147" i="18" s="1"/>
  <c r="D146" i="18" s="1"/>
  <c r="E147" i="18"/>
  <c r="D153" i="18"/>
  <c r="E152" i="18"/>
  <c r="D154" i="18"/>
  <c r="D156" i="18"/>
  <c r="E159" i="18"/>
  <c r="D165" i="18"/>
  <c r="D159" i="18" s="1"/>
  <c r="E165" i="18"/>
  <c r="D166" i="18"/>
  <c r="E166" i="18"/>
  <c r="D168" i="18"/>
  <c r="D167" i="18" s="1"/>
  <c r="E168" i="18"/>
  <c r="E167" i="18" s="1"/>
  <c r="D172" i="18"/>
  <c r="D171" i="18" s="1"/>
  <c r="D170" i="18" s="1"/>
  <c r="D169" i="18" s="1"/>
  <c r="E171" i="18"/>
  <c r="D173" i="18"/>
  <c r="D174" i="18"/>
  <c r="E174" i="18"/>
  <c r="D179" i="18"/>
  <c r="D178" i="18" s="1"/>
  <c r="D180" i="18"/>
  <c r="E180" i="18"/>
  <c r="E179" i="18" s="1"/>
  <c r="D187" i="18"/>
  <c r="D186" i="18" s="1"/>
  <c r="E187" i="18"/>
  <c r="D190" i="18"/>
  <c r="E190" i="18"/>
  <c r="D193" i="18"/>
  <c r="D195" i="18"/>
  <c r="D194" i="18" s="1"/>
  <c r="E195" i="18"/>
  <c r="E194" i="18" s="1"/>
  <c r="E193" i="18" s="1"/>
  <c r="D201" i="18"/>
  <c r="D200" i="18" s="1"/>
  <c r="D199" i="18" s="1"/>
  <c r="D198" i="18" s="1"/>
  <c r="E200" i="18"/>
  <c r="D204" i="18"/>
  <c r="D203" i="18" s="1"/>
  <c r="E204" i="18"/>
  <c r="D206" i="18"/>
  <c r="E206" i="18"/>
  <c r="D208" i="18"/>
  <c r="E208" i="18"/>
  <c r="E210" i="18"/>
  <c r="D211" i="18"/>
  <c r="D210" i="18" s="1"/>
  <c r="E211" i="18"/>
  <c r="D214" i="18"/>
  <c r="D213" i="18" s="1"/>
  <c r="D215" i="18"/>
  <c r="E215" i="18"/>
  <c r="D219" i="18"/>
  <c r="D218" i="18" s="1"/>
  <c r="D217" i="18" s="1"/>
  <c r="E219" i="18"/>
  <c r="D221" i="18"/>
  <c r="E221" i="18"/>
  <c r="D225" i="18"/>
  <c r="D224" i="18" s="1"/>
  <c r="D223" i="18" s="1"/>
  <c r="D226" i="18"/>
  <c r="E225" i="18"/>
  <c r="D232" i="18"/>
  <c r="E231" i="18"/>
  <c r="D233" i="18"/>
  <c r="D231" i="18" s="1"/>
  <c r="D230" i="18" s="1"/>
  <c r="E234" i="18"/>
  <c r="G234" i="18" s="1"/>
  <c r="D235" i="18"/>
  <c r="E235" i="18"/>
  <c r="G235" i="18" s="1"/>
  <c r="D239" i="18"/>
  <c r="D238" i="18" s="1"/>
  <c r="E239" i="18"/>
  <c r="E238" i="18" s="1"/>
  <c r="D244" i="18"/>
  <c r="D245" i="18"/>
  <c r="D243" i="18" s="1"/>
  <c r="D242" i="18" s="1"/>
  <c r="E243" i="18"/>
  <c r="D247" i="18"/>
  <c r="D246" i="18" s="1"/>
  <c r="D249" i="18"/>
  <c r="E246" i="18"/>
  <c r="D250" i="18"/>
  <c r="E251" i="18"/>
  <c r="D252" i="18"/>
  <c r="D251" i="18" s="1"/>
  <c r="E254" i="18"/>
  <c r="D256" i="18"/>
  <c r="D254" i="18" s="1"/>
  <c r="E259" i="18"/>
  <c r="D260" i="18"/>
  <c r="D259" i="18" s="1"/>
  <c r="D258" i="18" s="1"/>
  <c r="D257" i="18" s="1"/>
  <c r="D264" i="18"/>
  <c r="D263" i="18" s="1"/>
  <c r="D262" i="18" s="1"/>
  <c r="D261" i="18" s="1"/>
  <c r="D265" i="18"/>
  <c r="D269" i="18"/>
  <c r="D273" i="18"/>
  <c r="E263" i="18"/>
  <c r="D277" i="18"/>
  <c r="D278" i="18"/>
  <c r="D280" i="18"/>
  <c r="D281" i="18"/>
  <c r="D282" i="18"/>
  <c r="D283" i="18"/>
  <c r="D284" i="18"/>
  <c r="D286" i="18"/>
  <c r="D287" i="18"/>
  <c r="D289" i="18"/>
  <c r="D290" i="18"/>
  <c r="E262" i="18" l="1"/>
  <c r="H263" i="18"/>
  <c r="F263" i="18"/>
  <c r="E258" i="18"/>
  <c r="H259" i="18"/>
  <c r="G259" i="18"/>
  <c r="F259" i="18"/>
  <c r="F254" i="18"/>
  <c r="H254" i="18"/>
  <c r="H251" i="18"/>
  <c r="F251" i="18"/>
  <c r="F246" i="18"/>
  <c r="H246" i="18"/>
  <c r="E242" i="18"/>
  <c r="E229" i="18" s="1"/>
  <c r="H243" i="18"/>
  <c r="F243" i="18"/>
  <c r="G238" i="18"/>
  <c r="F238" i="18"/>
  <c r="H238" i="18"/>
  <c r="H239" i="18"/>
  <c r="G239" i="18"/>
  <c r="F239" i="18"/>
  <c r="D234" i="18"/>
  <c r="H235" i="18"/>
  <c r="F235" i="18"/>
  <c r="E230" i="18"/>
  <c r="H231" i="18"/>
  <c r="F231" i="18"/>
  <c r="E224" i="18"/>
  <c r="F225" i="18"/>
  <c r="H225" i="18"/>
  <c r="F221" i="18"/>
  <c r="H221" i="18"/>
  <c r="G221" i="18"/>
  <c r="H219" i="18"/>
  <c r="G219" i="18"/>
  <c r="F219" i="18"/>
  <c r="E218" i="18"/>
  <c r="E214" i="18"/>
  <c r="H215" i="18"/>
  <c r="F215" i="18"/>
  <c r="G215" i="18"/>
  <c r="H210" i="18"/>
  <c r="G210" i="18"/>
  <c r="F210" i="18"/>
  <c r="H211" i="18"/>
  <c r="G211" i="18"/>
  <c r="F211" i="18"/>
  <c r="G208" i="18"/>
  <c r="F208" i="18"/>
  <c r="H208" i="18"/>
  <c r="G206" i="18"/>
  <c r="H206" i="18"/>
  <c r="F206" i="18"/>
  <c r="G204" i="18"/>
  <c r="H204" i="18"/>
  <c r="F204" i="18"/>
  <c r="E203" i="18"/>
  <c r="E199" i="18"/>
  <c r="F200" i="18"/>
  <c r="H200" i="18"/>
  <c r="F190" i="18"/>
  <c r="H190" i="18"/>
  <c r="G190" i="18"/>
  <c r="H187" i="18"/>
  <c r="F187" i="18"/>
  <c r="G187" i="18"/>
  <c r="H179" i="18"/>
  <c r="F179" i="18"/>
  <c r="G179" i="18"/>
  <c r="F180" i="18"/>
  <c r="G180" i="18"/>
  <c r="H180" i="18"/>
  <c r="E173" i="18"/>
  <c r="H174" i="18"/>
  <c r="G174" i="18"/>
  <c r="F174" i="18"/>
  <c r="E170" i="18"/>
  <c r="H171" i="18"/>
  <c r="F171" i="18"/>
  <c r="E158" i="18"/>
  <c r="H159" i="18"/>
  <c r="F159" i="18"/>
  <c r="E151" i="18"/>
  <c r="F152" i="18"/>
  <c r="H152" i="18"/>
  <c r="H126" i="18"/>
  <c r="F126" i="18"/>
  <c r="E146" i="18"/>
  <c r="H147" i="18"/>
  <c r="F147" i="18"/>
  <c r="H143" i="18"/>
  <c r="G143" i="18"/>
  <c r="F143" i="18"/>
  <c r="H141" i="18"/>
  <c r="F141" i="18"/>
  <c r="F137" i="18"/>
  <c r="H137" i="18"/>
  <c r="H131" i="18"/>
  <c r="F131" i="18"/>
  <c r="E120" i="18"/>
  <c r="F121" i="18"/>
  <c r="H121" i="18"/>
  <c r="E116" i="18"/>
  <c r="H117" i="18"/>
  <c r="F117" i="18"/>
  <c r="E113" i="18"/>
  <c r="H114" i="18"/>
  <c r="F114" i="18"/>
  <c r="G114" i="18"/>
  <c r="E108" i="18"/>
  <c r="G109" i="18"/>
  <c r="H109" i="18"/>
  <c r="F109" i="18"/>
  <c r="E92" i="18"/>
  <c r="H93" i="18"/>
  <c r="F93" i="18"/>
  <c r="E88" i="18"/>
  <c r="H89" i="18"/>
  <c r="F89" i="18"/>
  <c r="E84" i="18"/>
  <c r="F85" i="18"/>
  <c r="H85" i="18"/>
  <c r="E80" i="18"/>
  <c r="G81" i="18"/>
  <c r="H81" i="18"/>
  <c r="F81" i="18"/>
  <c r="H78" i="18"/>
  <c r="G78" i="18"/>
  <c r="F78" i="18"/>
  <c r="E74" i="18"/>
  <c r="G75" i="18"/>
  <c r="H75" i="18"/>
  <c r="F75" i="18"/>
  <c r="F72" i="18"/>
  <c r="H72" i="18"/>
  <c r="E69" i="18"/>
  <c r="H70" i="18"/>
  <c r="F70" i="18"/>
  <c r="H63" i="18"/>
  <c r="F63" i="18"/>
  <c r="H54" i="18"/>
  <c r="G54" i="18"/>
  <c r="F54" i="18"/>
  <c r="E51" i="18"/>
  <c r="H52" i="18"/>
  <c r="F52" i="18"/>
  <c r="F47" i="18"/>
  <c r="H47" i="18"/>
  <c r="E44" i="18"/>
  <c r="H45" i="18"/>
  <c r="F45" i="18"/>
  <c r="F32" i="18"/>
  <c r="H32" i="18"/>
  <c r="H28" i="18"/>
  <c r="F28" i="18"/>
  <c r="H23" i="18"/>
  <c r="F23" i="18"/>
  <c r="H13" i="18"/>
  <c r="F13" i="18"/>
  <c r="H9" i="18"/>
  <c r="F9" i="18"/>
  <c r="G9" i="18"/>
  <c r="E8" i="18"/>
  <c r="D202" i="18"/>
  <c r="D229" i="18"/>
  <c r="D112" i="18"/>
  <c r="D22" i="18"/>
  <c r="D12" i="18"/>
  <c r="E186" i="18"/>
  <c r="D152" i="18"/>
  <c r="D151" i="18" s="1"/>
  <c r="D150" i="18" s="1"/>
  <c r="D83" i="18"/>
  <c r="D58" i="18"/>
  <c r="E12" i="18"/>
  <c r="E125" i="18"/>
  <c r="E58" i="18"/>
  <c r="D158" i="18"/>
  <c r="D157" i="18" s="1"/>
  <c r="D68" i="18"/>
  <c r="E22" i="18"/>
  <c r="E261" i="18" l="1"/>
  <c r="F262" i="18"/>
  <c r="H262" i="18"/>
  <c r="E257" i="18"/>
  <c r="H258" i="18"/>
  <c r="G258" i="18"/>
  <c r="F258" i="18"/>
  <c r="F242" i="18"/>
  <c r="H242" i="18"/>
  <c r="F234" i="18"/>
  <c r="H234" i="18"/>
  <c r="F229" i="18"/>
  <c r="H229" i="18"/>
  <c r="H230" i="18"/>
  <c r="F230" i="18"/>
  <c r="E223" i="18"/>
  <c r="F224" i="18"/>
  <c r="H224" i="18"/>
  <c r="E217" i="18"/>
  <c r="G218" i="18"/>
  <c r="F218" i="18"/>
  <c r="H218" i="18"/>
  <c r="E213" i="18"/>
  <c r="H214" i="18"/>
  <c r="G214" i="18"/>
  <c r="F214" i="18"/>
  <c r="E202" i="18"/>
  <c r="H203" i="18"/>
  <c r="F203" i="18"/>
  <c r="G203" i="18"/>
  <c r="E198" i="18"/>
  <c r="H199" i="18"/>
  <c r="F199" i="18"/>
  <c r="E178" i="18"/>
  <c r="F178" i="18" s="1"/>
  <c r="G186" i="18"/>
  <c r="F186" i="18"/>
  <c r="H186" i="18"/>
  <c r="F173" i="18"/>
  <c r="H173" i="18"/>
  <c r="G173" i="18"/>
  <c r="E169" i="18"/>
  <c r="H169" i="18" s="1"/>
  <c r="F170" i="18"/>
  <c r="H170" i="18"/>
  <c r="E157" i="18"/>
  <c r="H158" i="18"/>
  <c r="F158" i="18"/>
  <c r="E150" i="18"/>
  <c r="H151" i="18"/>
  <c r="F151" i="18"/>
  <c r="H146" i="18"/>
  <c r="F146" i="18"/>
  <c r="F125" i="18"/>
  <c r="H125" i="18"/>
  <c r="F120" i="18"/>
  <c r="H120" i="18"/>
  <c r="F116" i="18"/>
  <c r="H116" i="18"/>
  <c r="H113" i="18"/>
  <c r="G113" i="18"/>
  <c r="F113" i="18"/>
  <c r="E112" i="18"/>
  <c r="G108" i="18"/>
  <c r="F108" i="18"/>
  <c r="H108" i="18"/>
  <c r="H92" i="18"/>
  <c r="F92" i="18"/>
  <c r="F88" i="18"/>
  <c r="H88" i="18"/>
  <c r="E83" i="18"/>
  <c r="F84" i="18"/>
  <c r="H84" i="18"/>
  <c r="F80" i="18"/>
  <c r="G80" i="18"/>
  <c r="H80" i="18"/>
  <c r="H74" i="18"/>
  <c r="G74" i="18"/>
  <c r="F74" i="18"/>
  <c r="H69" i="18"/>
  <c r="F69" i="18"/>
  <c r="E68" i="18"/>
  <c r="H58" i="18"/>
  <c r="F58" i="18"/>
  <c r="F51" i="18"/>
  <c r="H51" i="18"/>
  <c r="H44" i="18"/>
  <c r="F44" i="18"/>
  <c r="H22" i="18"/>
  <c r="F22" i="18"/>
  <c r="F12" i="18"/>
  <c r="H12" i="18"/>
  <c r="G8" i="18"/>
  <c r="F8" i="18"/>
  <c r="H8" i="18"/>
  <c r="E11" i="18"/>
  <c r="D11" i="18"/>
  <c r="D291" i="18" s="1"/>
  <c r="H261" i="18" l="1"/>
  <c r="F261" i="18"/>
  <c r="G257" i="18"/>
  <c r="F257" i="18"/>
  <c r="H257" i="18"/>
  <c r="H223" i="18"/>
  <c r="F223" i="18"/>
  <c r="G217" i="18"/>
  <c r="F217" i="18"/>
  <c r="H217" i="18"/>
  <c r="G213" i="18"/>
  <c r="F213" i="18"/>
  <c r="H213" i="18"/>
  <c r="F202" i="18"/>
  <c r="H202" i="18"/>
  <c r="G202" i="18"/>
  <c r="H198" i="18"/>
  <c r="F198" i="18"/>
  <c r="H178" i="18"/>
  <c r="G178" i="18"/>
  <c r="F169" i="18"/>
  <c r="F157" i="18"/>
  <c r="H157" i="18"/>
  <c r="F150" i="18"/>
  <c r="H150" i="18"/>
  <c r="H112" i="18"/>
  <c r="F112" i="18"/>
  <c r="F83" i="18"/>
  <c r="H83" i="18"/>
  <c r="H68" i="18"/>
  <c r="F68" i="18"/>
  <c r="E291" i="18"/>
  <c r="F291" i="18" s="1"/>
  <c r="F11" i="18"/>
  <c r="H11" i="18"/>
  <c r="H291" i="18" l="1"/>
  <c r="C131" i="18"/>
  <c r="G131" i="18" s="1"/>
  <c r="C263" i="18" l="1"/>
  <c r="G263" i="18" s="1"/>
  <c r="C93" i="18"/>
  <c r="G93" i="18" s="1"/>
  <c r="C152" i="18"/>
  <c r="G152" i="18" s="1"/>
  <c r="C243" i="18"/>
  <c r="G243" i="18" s="1"/>
  <c r="C231" i="18"/>
  <c r="C230" i="18" l="1"/>
  <c r="C63" i="18"/>
  <c r="C147" i="18" l="1"/>
  <c r="G147" i="18" s="1"/>
  <c r="C260" i="18" l="1"/>
  <c r="C168" i="18"/>
  <c r="C137" i="18" l="1"/>
  <c r="G137" i="18" s="1"/>
  <c r="C121" i="18"/>
  <c r="G121" i="18" s="1"/>
  <c r="C259" i="18" l="1"/>
  <c r="C258" i="18" s="1"/>
  <c r="C257" i="18" s="1"/>
  <c r="C180" i="18" l="1"/>
  <c r="C262" i="18" l="1"/>
  <c r="C251" i="18"/>
  <c r="G251" i="18" s="1"/>
  <c r="C235" i="18"/>
  <c r="C234" i="18" s="1"/>
  <c r="C261" i="18" l="1"/>
  <c r="G261" i="18" s="1"/>
  <c r="G262" i="18"/>
  <c r="C211" i="18"/>
  <c r="C210" i="18" s="1"/>
  <c r="C208" i="18"/>
  <c r="C206" i="18" l="1"/>
  <c r="C204" i="18"/>
  <c r="C159" i="18"/>
  <c r="G159" i="18" s="1"/>
  <c r="C47" i="18"/>
  <c r="G47" i="18" s="1"/>
  <c r="C203" i="18" l="1"/>
  <c r="C202" i="18" s="1"/>
  <c r="C254" i="18"/>
  <c r="G254" i="18" s="1"/>
  <c r="C239" i="18"/>
  <c r="C238" i="18" s="1"/>
  <c r="C167" i="18" l="1"/>
  <c r="C187" i="18"/>
  <c r="C115" i="18" l="1"/>
  <c r="C114" i="18" s="1"/>
  <c r="C113" i="18" s="1"/>
  <c r="C246" i="18" l="1"/>
  <c r="C242" i="18" l="1"/>
  <c r="G246" i="18"/>
  <c r="C229" i="18"/>
  <c r="G229" i="18" s="1"/>
  <c r="G242" i="18"/>
  <c r="C200" i="18"/>
  <c r="G200" i="18" s="1"/>
  <c r="C41" i="18" l="1"/>
  <c r="G41" i="18" s="1"/>
  <c r="C19" i="18"/>
  <c r="G19" i="18" s="1"/>
  <c r="C179" i="18"/>
  <c r="C127" i="18"/>
  <c r="C32" i="18" l="1"/>
  <c r="G32" i="18" s="1"/>
  <c r="C78" i="18"/>
  <c r="C225" i="18" l="1"/>
  <c r="C221" i="18"/>
  <c r="C219" i="18"/>
  <c r="C215" i="18"/>
  <c r="C214" i="18" s="1"/>
  <c r="C213" i="18" s="1"/>
  <c r="C195" i="18"/>
  <c r="C194" i="18" s="1"/>
  <c r="C193" i="18" s="1"/>
  <c r="C190" i="18"/>
  <c r="C174" i="18"/>
  <c r="C173" i="18" s="1"/>
  <c r="C171" i="18"/>
  <c r="C146" i="18"/>
  <c r="G146" i="18" s="1"/>
  <c r="C141" i="18"/>
  <c r="G141" i="18" s="1"/>
  <c r="C143" i="18"/>
  <c r="C224" i="18" l="1"/>
  <c r="C170" i="18"/>
  <c r="G170" i="18" s="1"/>
  <c r="G171" i="18"/>
  <c r="C158" i="18"/>
  <c r="C169" i="18"/>
  <c r="G169" i="18" s="1"/>
  <c r="C218" i="18"/>
  <c r="C217" i="18" s="1"/>
  <c r="C199" i="18"/>
  <c r="C186" i="18"/>
  <c r="C178" i="18" s="1"/>
  <c r="C126" i="18"/>
  <c r="C125" i="18" s="1"/>
  <c r="G125" i="18" s="1"/>
  <c r="C223" i="18" l="1"/>
  <c r="C198" i="18"/>
  <c r="G198" i="18" s="1"/>
  <c r="G199" i="18"/>
  <c r="C157" i="18"/>
  <c r="G157" i="18" s="1"/>
  <c r="G158" i="18"/>
  <c r="C120" i="18"/>
  <c r="G120" i="18" s="1"/>
  <c r="C117" i="18"/>
  <c r="C109" i="18"/>
  <c r="C108" i="18" s="1"/>
  <c r="C105" i="18"/>
  <c r="C89" i="18"/>
  <c r="C85" i="18"/>
  <c r="C81" i="18"/>
  <c r="C80" i="18" s="1"/>
  <c r="C75" i="18"/>
  <c r="C74" i="18" s="1"/>
  <c r="C72" i="18"/>
  <c r="G72" i="18" s="1"/>
  <c r="C70" i="18"/>
  <c r="G70" i="18" s="1"/>
  <c r="C61" i="18"/>
  <c r="G61" i="18" s="1"/>
  <c r="C59" i="18"/>
  <c r="C54" i="18"/>
  <c r="C52" i="18"/>
  <c r="G52" i="18" s="1"/>
  <c r="C45" i="18"/>
  <c r="C28" i="18"/>
  <c r="G28" i="18" s="1"/>
  <c r="C23" i="18"/>
  <c r="G23" i="18" s="1"/>
  <c r="C17" i="18"/>
  <c r="G17" i="18" s="1"/>
  <c r="C13" i="18"/>
  <c r="G13" i="18" s="1"/>
  <c r="C9" i="18"/>
  <c r="C8" i="18" s="1"/>
  <c r="C116" i="18" l="1"/>
  <c r="G116" i="18" s="1"/>
  <c r="G117" i="18"/>
  <c r="C88" i="18"/>
  <c r="G88" i="18" s="1"/>
  <c r="G89" i="18"/>
  <c r="C84" i="18"/>
  <c r="G84" i="18" s="1"/>
  <c r="G85" i="18"/>
  <c r="C58" i="18"/>
  <c r="G58" i="18" s="1"/>
  <c r="G59" i="18"/>
  <c r="C44" i="18"/>
  <c r="G44" i="18" s="1"/>
  <c r="G45" i="18"/>
  <c r="C112" i="18"/>
  <c r="G112" i="18" s="1"/>
  <c r="C51" i="18"/>
  <c r="G51" i="18" s="1"/>
  <c r="C69" i="18"/>
  <c r="C12" i="18"/>
  <c r="G12" i="18" s="1"/>
  <c r="C92" i="18"/>
  <c r="G92" i="18" s="1"/>
  <c r="C22" i="18"/>
  <c r="G22" i="18" s="1"/>
  <c r="C83" i="18" l="1"/>
  <c r="G83" i="18" s="1"/>
  <c r="C68" i="18"/>
  <c r="G68" i="18" s="1"/>
  <c r="G69" i="18"/>
  <c r="C11" i="18"/>
  <c r="G11" i="18" s="1"/>
  <c r="C151" i="18" l="1"/>
  <c r="C150" i="18" l="1"/>
  <c r="G151" i="18"/>
  <c r="C291" i="18" l="1"/>
  <c r="G291" i="18" s="1"/>
  <c r="G150" i="18"/>
</calcChain>
</file>

<file path=xl/sharedStrings.xml><?xml version="1.0" encoding="utf-8"?>
<sst xmlns="http://schemas.openxmlformats.org/spreadsheetml/2006/main" count="666" uniqueCount="541">
  <si>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</si>
  <si>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</si>
  <si>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</si>
  <si>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</si>
  <si>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</si>
  <si>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</si>
  <si>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</si>
  <si>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</si>
  <si>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</si>
  <si>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</si>
  <si>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</si>
  <si>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</si>
  <si>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</si>
  <si>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</si>
  <si>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</si>
  <si>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</si>
  <si>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</si>
  <si>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</si>
  <si>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</si>
  <si>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</si>
  <si>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</si>
  <si>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</si>
  <si>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</si>
  <si>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</si>
  <si>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</si>
  <si>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Наименование</t>
  </si>
  <si>
    <t>Целевая статья</t>
  </si>
  <si>
    <t>Процентные платежи по муниципальному долгу</t>
  </si>
  <si>
    <t>Всего расходов</t>
  </si>
  <si>
    <t>Расходы, связанные с исполнением решений, принятых судебными органами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</si>
  <si>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</si>
  <si>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</si>
  <si>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</si>
  <si>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</si>
  <si>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</si>
  <si>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</si>
  <si>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</si>
  <si>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Пенсии за выслугу лет муниципальным служащим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</si>
  <si>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</si>
  <si>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</si>
  <si>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</si>
  <si>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</si>
  <si>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</si>
  <si>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</si>
  <si>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</si>
  <si>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</si>
  <si>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</si>
  <si>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</si>
  <si>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</si>
  <si>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</si>
  <si>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</si>
  <si>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</si>
  <si>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</si>
  <si>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</si>
  <si>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</si>
  <si>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</si>
  <si>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</si>
  <si>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12 0 00 00000</t>
  </si>
  <si>
    <t>12 1 00 00000</t>
  </si>
  <si>
    <t>12 2 00 00000</t>
  </si>
  <si>
    <t>13 0 00 00000</t>
  </si>
  <si>
    <t>13 1 00 00000</t>
  </si>
  <si>
    <t>17 0 00 00000</t>
  </si>
  <si>
    <t>06 0 00 00000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</si>
  <si>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</si>
  <si>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05 3 00 00000</t>
  </si>
  <si>
    <t>02 6 00 00000</t>
  </si>
  <si>
    <t>99 9 99 59300</t>
  </si>
  <si>
    <t>12 2 03 00000</t>
  </si>
  <si>
    <t>06 3 01 L4970</t>
  </si>
  <si>
    <t xml:space="preserve">Софинансирование из местного бюджета мероприятий по обеспечению развития и укреплению материально-технической базы домов культуры в населенных пунктах с числом жителей до 50 тысяч человек </t>
  </si>
  <si>
    <t xml:space="preserve">05 3 01 L4670 </t>
  </si>
  <si>
    <t>Субсидии организациям на возмещение расходов в области ЖКХ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</si>
  <si>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</si>
  <si>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</si>
  <si>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</si>
  <si>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</si>
  <si>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06 5 00 00000</t>
  </si>
  <si>
    <t>06 5 01 00000</t>
  </si>
  <si>
    <t>Субсидии бюджетам муниципальных образований Приморского края на обеспечение граждан твердым топливом (дровами)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</si>
  <si>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</si>
  <si>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</si>
  <si>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</si>
  <si>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</si>
  <si>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</si>
  <si>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</si>
  <si>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</si>
  <si>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</si>
  <si>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</si>
  <si>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</si>
  <si>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</si>
  <si>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</si>
  <si>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</si>
  <si>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</si>
  <si>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</si>
  <si>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</si>
  <si>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</si>
  <si>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</si>
  <si>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</si>
  <si>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</si>
  <si>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</si>
  <si>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</si>
  <si>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</si>
  <si>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13 1 01 00000</t>
  </si>
  <si>
    <t>02 2 01 53030</t>
  </si>
  <si>
    <t>13 1 01 S2280</t>
  </si>
  <si>
    <t>20 0 00 00000</t>
  </si>
  <si>
    <t>99 9 99 93180</t>
  </si>
  <si>
    <t>02 6 Е1 93140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</si>
  <si>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</si>
  <si>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</si>
  <si>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>(руб.)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</si>
  <si>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</si>
  <si>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</si>
  <si>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</si>
  <si>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</si>
  <si>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</si>
  <si>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</si>
  <si>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бюджетам муниципальных образований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</si>
  <si>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Софинансирование из местного бюджета 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</si>
  <si>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</si>
  <si>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</si>
  <si>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</si>
  <si>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</si>
  <si>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</si>
  <si>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</si>
  <si>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Софинансирование из местного бюджета на мероприятия по озданию и развитию системы газоснабжения муниципальных образований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</si>
  <si>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</si>
  <si>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</si>
  <si>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</si>
  <si>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</si>
  <si>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</si>
  <si>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</si>
  <si>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</si>
  <si>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</si>
  <si>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</si>
  <si>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</si>
  <si>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</si>
  <si>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</si>
  <si>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</si>
  <si>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</si>
  <si>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</si>
  <si>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</si>
  <si>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</si>
  <si>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Региональный проект "Региональная и местная дорожная сеть"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</si>
  <si>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</si>
  <si>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</si>
  <si>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</si>
  <si>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</si>
  <si>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</si>
  <si>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</si>
  <si>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</si>
  <si>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</si>
  <si>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</si>
  <si>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</si>
  <si>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</si>
  <si>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12 1 01 00000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</si>
  <si>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</si>
  <si>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</si>
  <si>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</si>
  <si>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</si>
  <si>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</si>
  <si>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</si>
  <si>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</si>
  <si>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</si>
  <si>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</si>
  <si>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</si>
  <si>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</si>
  <si>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</si>
  <si>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</si>
  <si>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</si>
  <si>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02 2 03 L7500</t>
  </si>
  <si>
    <t>Основное мероприятие региональный проект "Патриотическое воспитание граждан Российской Федерации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</si>
  <si>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</si>
  <si>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</si>
  <si>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</si>
  <si>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</si>
  <si>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</si>
  <si>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</si>
  <si>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</si>
  <si>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</si>
  <si>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</si>
  <si>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</si>
  <si>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</si>
  <si>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</si>
  <si>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</si>
  <si>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</si>
  <si>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</si>
  <si>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</si>
  <si>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</si>
  <si>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</si>
  <si>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</si>
  <si>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</si>
  <si>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</si>
  <si>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</si>
  <si>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</si>
  <si>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</si>
  <si>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</si>
  <si>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</si>
  <si>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</si>
  <si>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</si>
  <si>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</si>
  <si>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</si>
  <si>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</si>
  <si>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</si>
  <si>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</si>
  <si>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</si>
  <si>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</si>
  <si>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</si>
  <si>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</si>
  <si>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</si>
  <si>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</si>
  <si>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</si>
  <si>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</si>
  <si>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</si>
  <si>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</si>
  <si>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</si>
  <si>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</si>
  <si>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</si>
  <si>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</si>
  <si>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</si>
  <si>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</si>
  <si>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</si>
  <si>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</si>
  <si>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</si>
  <si>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</si>
  <si>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Подпрограмма "Обеспечение жильём молодых семей Шкотовского муниципального округа"</t>
  </si>
  <si>
    <t>06 3 01 00000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</si>
  <si>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</si>
  <si>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</si>
  <si>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</si>
  <si>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</si>
  <si>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</si>
  <si>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</si>
  <si>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</si>
  <si>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</si>
  <si>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</si>
  <si>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</si>
  <si>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</si>
  <si>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</si>
  <si>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</si>
  <si>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</si>
  <si>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</si>
  <si>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99 9 99 10080</t>
  </si>
  <si>
    <t>Организация выполнения и осуществления мер пожарной безопасности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</si>
  <si>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</si>
  <si>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</si>
  <si>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</si>
  <si>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</si>
  <si>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</si>
  <si>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</si>
  <si>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</si>
  <si>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</si>
  <si>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</si>
  <si>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</si>
  <si>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</si>
  <si>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</si>
  <si>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</si>
  <si>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</si>
  <si>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</si>
  <si>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</si>
  <si>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</si>
  <si>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</si>
  <si>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</si>
  <si>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</si>
  <si>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Капитальный ремонт объектов централизованного водоотведения с. Анисимовка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</si>
  <si>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</si>
  <si>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Содержание и обслуживание казны Шкотовского муниципального округа</t>
  </si>
  <si>
    <t>Муниципальная программа "Энергоэффективность, развитие газоснабжения и энергетики в Шкотовском муниципальном округе на 2020-2027 годы"</t>
  </si>
  <si>
    <t>Подпрограмма "Создание и развитие системы газоснабжения Шкотовского муниципального округа на 2020-2027 годы"</t>
  </si>
  <si>
    <t>Подпрограмма "Развитие сферы ритуальных услуг на территории Шкотовского муниципального округа"</t>
  </si>
  <si>
    <t>Основное мероприятие "Развитие сферы ритуальных услуг на территории Шкотовского муниципального округа"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</si>
  <si>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</si>
  <si>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</si>
  <si>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</si>
  <si>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</si>
  <si>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6 EВ 00000</t>
  </si>
  <si>
    <t>02 6 EВ 51790</t>
  </si>
  <si>
    <t>02 1 03 00000</t>
  </si>
  <si>
    <t>02 1 03 L5764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</si>
  <si>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</si>
  <si>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</si>
  <si>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"Газоснабжение и газификация Шкотовского муниципального округа"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</si>
  <si>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</si>
  <si>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</si>
  <si>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</si>
  <si>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</si>
  <si>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</si>
  <si>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</si>
  <si>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</si>
  <si>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</si>
  <si>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</si>
  <si>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03 3 01 00000</t>
  </si>
  <si>
    <t>03 3 01 20080</t>
  </si>
  <si>
    <t xml:space="preserve">Обеспечение беспрепятственного доступа инвалидов к объектам социальной инфраструктуры и информации </t>
  </si>
  <si>
    <t>Подпрограмма "Организация досуга и обеспечение населения Шкотовского муниципального округа услугами организации культуры" (клубная система)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</si>
  <si>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</si>
  <si>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05 4 01 00000</t>
  </si>
  <si>
    <t>07 1 01 00000</t>
  </si>
  <si>
    <t>Основное мероприятие "Развитие материально-технической базы для защиты населения и территории от чрезвычайных ситуаций"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</si>
  <si>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</si>
  <si>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18 1 03 00000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</si>
  <si>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</si>
  <si>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</si>
  <si>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99 9 99 10040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</si>
  <si>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</si>
  <si>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 xml:space="preserve">Подпрограмма "Патриотическое воспитание жителей Шкотовского муниципального округа Приморского края" 
</t>
  </si>
  <si>
    <t>Муниципальная программа "Развитие образования Шкотовского муниципального округа" на 2024 – 2027 годы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</si>
  <si>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</si>
  <si>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Подпрограмма "Реализация образовательных программ общего образования"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</si>
  <si>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</si>
  <si>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</si>
  <si>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99 9 99 10100</t>
  </si>
  <si>
    <t>02 5 02 80010</t>
  </si>
  <si>
    <t>07 1 01 20360</t>
  </si>
  <si>
    <t>Предоставление мер социальной поддержки педагогическим работникам муниципальных бюджетных учреждений Шкотовского муниципального округа</t>
  </si>
  <si>
    <t>17 2 03 20370</t>
  </si>
  <si>
    <t>99 9 99 93010</t>
  </si>
  <si>
    <t>99 9 99 93030</t>
  </si>
  <si>
    <t>07 1 01 20380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</si>
  <si>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</si>
  <si>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Муниципальная программа 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</si>
  <si>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Субсидии бюджетам муниципальных образований на мероприятия по созданию и развитию системы газоснабжения муниципальных образований</t>
  </si>
  <si>
    <t>Субсидии из краевого бюджета бюджетам муниципальных образований Приморского края на реализацию федеральной целевой программы "Увековечение памяти погибших при защите Отечества на 2019 - 2024 годы"</t>
  </si>
  <si>
    <t>Компенсационные выплаты на возмещение затрат многодетных семей на обеспечение земельных участков инженерной инфраструктурой ВКХ</t>
  </si>
  <si>
    <t>Субвенции на реализацию государственных полномочий в сфере транспортного обслуживания по муниципальным маршрутам в границах муниципальных образований</t>
  </si>
  <si>
    <t>03 3 02 00000</t>
  </si>
  <si>
    <t>03 3 02 20020</t>
  </si>
  <si>
    <t>Организация культурных и спортивных мероприятий, с участием людей с ограниченными возможностями"</t>
  </si>
  <si>
    <t>Основное мероприятие "Организация культурных и спортивных мероприятий, с участием людей с ограниченными возможностями"</t>
  </si>
  <si>
    <t>14 0 00 00000</t>
  </si>
  <si>
    <t>14 1 00 00000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</si>
  <si>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</si>
  <si>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</si>
  <si>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</si>
  <si>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14 1 01 00000</t>
  </si>
  <si>
    <t>14 1 01 L5990</t>
  </si>
  <si>
    <t>Субсидии бюджетам на подготовку проектов межевания земельных участков и на проведение кадастровых работ</t>
  </si>
  <si>
    <t>Основное мероприятие "Реализация проектов инициативного бюджетирования по направлению "Твой проект""</t>
  </si>
  <si>
    <t>02 2 03 S2751</t>
  </si>
  <si>
    <t>02 2 03 S2752</t>
  </si>
  <si>
    <t>05 3 А1 00000</t>
  </si>
  <si>
    <t>Региональный проект "Культурная среда"</t>
  </si>
  <si>
    <t>05 3 A1 55130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</si>
  <si>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</si>
  <si>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</si>
  <si>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помещениями,  за счет средств краевого бюджета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</si>
  <si>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</si>
  <si>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</si>
  <si>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</si>
  <si>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Основное мероприятие "Развитие массовой физической культуры и спорта в Шкотовском муниципальном округе"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</si>
  <si>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</si>
  <si>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09 1 P5 00000</t>
  </si>
  <si>
    <t>09 1 P5 51390</t>
  </si>
  <si>
    <t>20 3 00 00000</t>
  </si>
  <si>
    <t>20 3 01 00000</t>
  </si>
  <si>
    <t>20 3 01 S2170</t>
  </si>
  <si>
    <t>Оказание ритуальных услуг по захоронению лиц, не имеющих родственников</t>
  </si>
  <si>
    <t>02 2 03 S2340</t>
  </si>
  <si>
    <t>0 2 03 S2340</t>
  </si>
  <si>
    <t xml:space="preserve"> Софинансирование из местного бюджета на финансовое обеспечение мероприятий по капитальному ремонту зданий и благоустройству территорий</t>
  </si>
  <si>
    <t>Финансовое обеспечение мероприятий по капитальному ремонту зданий и благоустройству территорий за счет краевого бюджета</t>
  </si>
  <si>
    <t>02 3 02 94050</t>
  </si>
  <si>
    <t xml:space="preserve"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 </t>
  </si>
  <si>
    <t>05 3 01 S2470</t>
  </si>
  <si>
    <t>Субсидии из краевого бюджета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</si>
  <si>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Софинансирование из местного бюджета субсидии из краевого бюджета бюджетам муниципальных образований Приморского края  на обеспечение развития и укрепления материально-технической базы муниципальных домов культуры</t>
  </si>
  <si>
    <t>05 3 01 S2510</t>
  </si>
  <si>
    <t>Субсидии из краевого бюджета бюджетам муниципальных образований Приморского края на модернизацию муниципальных библиотек</t>
  </si>
  <si>
    <t>Софинансирование из местного бюджета субсидии из краевого бюджета бюджетам муниципальных образований Приморского края на модернизацию муниципальных библиотек</t>
  </si>
  <si>
    <t>09 1 01 S2230</t>
  </si>
  <si>
    <t>Софинансирование из местного бюджета на прибретение и поставку спортивного инвентаря, спортивного оборудования и иного имущества для развития массового спорта</t>
  </si>
  <si>
    <t>12 1 01 А2410</t>
  </si>
  <si>
    <t>Организация транспортного обслуживания населения в границах муниципальных образований Приморского края</t>
  </si>
  <si>
    <t>12 1 01 S2770</t>
  </si>
  <si>
    <t>Субсидии бюджетам муниципальных образований Приморского края на приобретение подвижного состава пассажирского транспорта общего пользования</t>
  </si>
  <si>
    <t>Софинансирование из местного бюджета  на приобретение подвижного состава пассажирского транспорта общего пользования</t>
  </si>
  <si>
    <t>12 2 03 9Д019</t>
  </si>
  <si>
    <t>12 2 03 9Д020</t>
  </si>
  <si>
    <t>15 0 00 00000</t>
  </si>
  <si>
    <t>Комплекс процессных мероприятий  "Реализация мероприятий направленных на формирование и развитие гражданского, патриотического, духовно-нравственного воспитания молодежи"</t>
  </si>
  <si>
    <t>Подпрограмма "Реализация молодежной политики на территории  Шкотовского муниципального округа"</t>
  </si>
  <si>
    <t>15 1 00 00000</t>
  </si>
  <si>
    <t>15 1 01 00000</t>
  </si>
  <si>
    <t xml:space="preserve">Гражданско-патриотическое и духовно-нравственное воспитание молодежи </t>
  </si>
  <si>
    <t>15 1 01 20050</t>
  </si>
  <si>
    <t>Комплекс процессных мероприятий  "Информационное обеспечение молодежной политики"</t>
  </si>
  <si>
    <t>15 1 02 00000</t>
  </si>
  <si>
    <t>Информационное обеспечение молодежной политики</t>
  </si>
  <si>
    <t>15 1 02 20280</t>
  </si>
  <si>
    <t>15 1 03 00000</t>
  </si>
  <si>
    <t>15 1 03 20290</t>
  </si>
  <si>
    <t>15 2 00 00000</t>
  </si>
  <si>
    <t>15 2 01 00000</t>
  </si>
  <si>
    <t>Подпрограмма  "Поддержка социально ориентированных и иных общественных организаций на территории Шкотовского муниципального округа"</t>
  </si>
  <si>
    <t>Комплекс процессных мероприятий "Реализация мероприятий по поддержке общественных объединений, направленных на развитие институтов гражданского общества"</t>
  </si>
  <si>
    <t>15 2 01 20300</t>
  </si>
  <si>
    <t>Поддержка социально ориентированных и иных общественных организаций</t>
  </si>
  <si>
    <t>20 2 00 00000</t>
  </si>
  <si>
    <t>Основное мероприятие " Благоустройство дворовых территорий, детских и спортивных площадок</t>
  </si>
  <si>
    <t>Подпрограмма Благоустройство дворовых территорий детских и спортивных площадок Шкотовского муниципального округа</t>
  </si>
  <si>
    <t>20 2 01 00000</t>
  </si>
  <si>
    <t>20 2 01 S2610</t>
  </si>
  <si>
    <t>20 4 00 00000</t>
  </si>
  <si>
    <t xml:space="preserve">Подпрограмма "Содержание территории Шкотовского муниципального округа" </t>
  </si>
  <si>
    <t>Основное мероприятие " Улучшение санитарного состояния и эстетического вида территории муниципального округа"</t>
  </si>
  <si>
    <t>20 4 01 00000</t>
  </si>
  <si>
    <t>20 4 01 20440</t>
  </si>
  <si>
    <t>20 4 02 00000</t>
  </si>
  <si>
    <t>20 4 02 S2361</t>
  </si>
  <si>
    <t>20 4 02 S2362</t>
  </si>
  <si>
    <t>20 4 04 00000</t>
  </si>
  <si>
    <t>20 4 04 20430</t>
  </si>
  <si>
    <t>20 4 04 20260</t>
  </si>
  <si>
    <t>Комплекс процессных мероприятий "Осуществление деятельности по обращению с животными без владельцев, обитающими на территориях муниципального округа"</t>
  </si>
  <si>
    <t>Осуществление деятельности по обращению с животными без владельцев, обитающими на территориях муниципального округа</t>
  </si>
  <si>
    <t>20 4 03 00000</t>
  </si>
  <si>
    <t>20 4 03 20450</t>
  </si>
  <si>
    <t>Субвенции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</si>
  <si>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Комплекс процессных мероприятий "Улучшение санитарного состояния ритуальных услуг на территории Шкотовского муниципального округа"</t>
  </si>
  <si>
    <t>99 9 99 10061</t>
  </si>
  <si>
    <t>Резервный фонд Администрации Шкотовского муниципального округа по ликвидации чрезвычайных ситуаций природного и техногенного характера</t>
  </si>
  <si>
    <t>Резервный фонд Администрации Шкотовского муниципального окргуа</t>
  </si>
  <si>
    <t>99 9 99 20210</t>
  </si>
  <si>
    <t>20 4 3 93040</t>
  </si>
  <si>
    <t>Муниципальная программа Реализация молодежной политики и поддержка социально ориентированных и иных общественных организаций на территории Шкотовского муниципального округа" на 2025 – 2030 годы</t>
  </si>
  <si>
    <t>Субсидии на возмещение затрат на оплату жилищных услуг и услуг отопления жилых помещений семей военнослужащих в зоне СВО</t>
  </si>
  <si>
    <t>Субсидии на возмещение затрат на оплату услуг по обеспечению твердым топливом семей военнослужащих в зоне СВО</t>
  </si>
  <si>
    <t>21 0 00 00000</t>
  </si>
  <si>
    <t>21 1 00 00000</t>
  </si>
  <si>
    <t>21 1 01 00000</t>
  </si>
  <si>
    <t>21 1 01 20310</t>
  </si>
  <si>
    <t>Муниципальная пограмма "Противодействие коррупции в Шкотовском муниципальном округе на 2022-2025 годы"</t>
  </si>
  <si>
    <t>Подпрограмма "Противодействие коррупции в Шкотовском муниципальном округе на 2022-2025 годы"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</si>
  <si>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</si>
  <si>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</si>
  <si>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Мероприятие по обустройству и содержанию контейнерных площадок временного размещения ТКО</t>
  </si>
  <si>
    <t>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</si>
  <si>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Проведение мероприятий для детей и молодежи</t>
  </si>
  <si>
    <t xml:space="preserve"> Комплекс процессных мероприятий  "Проведение мероприятий для детей и молодежи"</t>
  </si>
  <si>
    <t>Содержание общественных  кладбищ Шкотовского муниципального округа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</si>
  <si>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2024-2028 годы"</t>
  </si>
  <si>
    <t>06 2 00 00000</t>
  </si>
  <si>
    <t>Подпрограмма  "Стимулирование развития жилищного строительства на территории Шкотовского муниципального округа"</t>
  </si>
  <si>
    <t>06 2 02 60050</t>
  </si>
  <si>
    <t>06 4 00 00000</t>
  </si>
  <si>
    <t>06 4 01 00000</t>
  </si>
  <si>
    <t>06 4 01 R0820</t>
  </si>
  <si>
    <t>06 4 01 93210</t>
  </si>
  <si>
    <t>06 5 01 20350</t>
  </si>
  <si>
    <t>06 5 01 S2100</t>
  </si>
  <si>
    <t>06 5 01 S2320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</si>
  <si>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на территории Шкотовского муниципального округа"</t>
  </si>
  <si>
    <t>Комплекс процессных мероприятий "Создание условий для развития жилищного строительства"</t>
  </si>
  <si>
    <t>06 2 02 00000</t>
  </si>
  <si>
    <t>Комплекс процессных мероприятий "Поддержка муниципальных программ в сфере жилищно-коммунального хозяйства"</t>
  </si>
  <si>
    <t>06 5 04 00000</t>
  </si>
  <si>
    <t>06 5 03 00000</t>
  </si>
  <si>
    <t>06 5 03 60030</t>
  </si>
  <si>
    <t>06 5 03 60040</t>
  </si>
  <si>
    <t>06 5 03 60060</t>
  </si>
  <si>
    <t>06 5 04 20420</t>
  </si>
  <si>
    <t>Комплекс процессных мероприятий "Обеспечение граждан твердым топливом"</t>
  </si>
  <si>
    <t>06 5 05 00000</t>
  </si>
  <si>
    <t>06 5 05 S2620</t>
  </si>
  <si>
    <t>Подпрограмма "Обеспечение деятельности органов местного самоуправления"</t>
  </si>
  <si>
    <t>06 5 02 00000</t>
  </si>
  <si>
    <t>Сезонная подготовка объектов к отопительному периоду</t>
  </si>
  <si>
    <t>Содержание объектов централизованного водоотведения (пос. Новонежино)</t>
  </si>
  <si>
    <t>Замена ветхих и аварийных сетей, объектов централизованного водоснабжения, водоотведения и теплоснабжения,объектов электроэнергетики</t>
  </si>
  <si>
    <t>Установка резервных источников электроснабжения</t>
  </si>
  <si>
    <t>06 6 00 00000</t>
  </si>
  <si>
    <t>06 6 01 00000</t>
  </si>
  <si>
    <t>06 6 01 20320</t>
  </si>
  <si>
    <t>Ремонт муниципальных жилых помещений</t>
  </si>
  <si>
    <t>06 6 01 20010</t>
  </si>
  <si>
    <t>06 5 02 20100</t>
  </si>
  <si>
    <t>06 5 02 20110</t>
  </si>
  <si>
    <t>06 5 02 20140</t>
  </si>
  <si>
    <t>06 5 02 20190</t>
  </si>
  <si>
    <t>99 9 99 20390</t>
  </si>
  <si>
    <t>Выполнение Перечня наказов избирателей депутатами Думы Шкотовского муниципального округа</t>
  </si>
  <si>
    <t>Комплекс процессных мероприятий "Выполнение обязательств по предоставлению жилых помещений детям-сиротам и детям, оставшимся без попечения родителей, лиц из их числа по договорам найма специализированных жилых помещений"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</si>
  <si>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"Стадион на 300 мест а пгт. Шкотово Шкотовского округа Приморского края"</t>
  </si>
  <si>
    <t>Муниципальная программа "Формирование современной городской среды и благоустройство территории Шкотовского муниципального округа" на 2024 - 2028 годы</t>
  </si>
  <si>
    <t>Комплекс процессных мероприятий "Улучшение состояния объектов коммунальной инфраструктуры"</t>
  </si>
  <si>
    <t>Комплекс процессных мероприятий "Поддержка организаций коммунального хозяйства"</t>
  </si>
  <si>
    <t>Комплекс процессных мероприятий "Создание площадок ТКО"</t>
  </si>
  <si>
    <t>Комплекс процессных мероприятий "Капитальный и текущий ремонт муниципального жилого фонда"</t>
  </si>
  <si>
    <t>Реализация национальных и региональных проектов</t>
  </si>
  <si>
    <t>02 6 Ю6 00000</t>
  </si>
  <si>
    <t>Региональный проект "Педагоги и наставники"</t>
  </si>
  <si>
    <t>02 6 Ю6 51790</t>
  </si>
  <si>
    <t>02 6 Ю6 93140</t>
  </si>
  <si>
    <t>02 6 Ю6 53030</t>
  </si>
  <si>
    <t>02 6 Ю6 50500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</si>
  <si>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</si>
  <si>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Реализация проектов инициативного бюджетирования по направлению "Молодежный бюджет" ("Парадный вход школы" МБОУ "СОШ № 27 пгт Смоляниново")</t>
  </si>
  <si>
    <t>Софинансирование из местного бюджета на реализацию проектов инициативного бюджетирования по направлению "Молодежный бюджет" ("Парадный вход школы" МБОУ "СОШ № 27 пгт Смоляниново")</t>
  </si>
  <si>
    <t>Реализация проектов инициативного бюджетирования по направлению "Молодежный бюджет" ("Школьный двор" МБОУ "СОШ № 1 пгт Шкотово")</t>
  </si>
  <si>
    <t>Софинансирование из местного бюджета на реализацию проектов инициативного бюджетирования по направлению "Молодежный бюджет" "Школьный двор" МБОУ "СОШ № 1 пгт Шкотово")</t>
  </si>
  <si>
    <t>Проектно-изыскательные работы по строительству объекта "Культурно-досуговый центр" в пгт Шкотово Шкотовского муниципального округа"</t>
  </si>
  <si>
    <t xml:space="preserve">05 3 01 40010 </t>
  </si>
  <si>
    <t>06 5 02 60020</t>
  </si>
  <si>
    <t>Субсидии на возмещение фактических затрат, возникших в связи с проведением капитального ремонта систем теплоснабжения, закрепленных на праве хозяйственного ведения</t>
  </si>
  <si>
    <t>07 1 01 20230</t>
  </si>
  <si>
    <t>Установка ограждения территории пожарного бокса с. Романовка</t>
  </si>
  <si>
    <t>12 2 И8 00000</t>
  </si>
  <si>
    <t>12 2 И8 SД002</t>
  </si>
  <si>
    <t>Капитальный ремонт и ремонт автомобильных дорог местного значения в рамках регионального проекта "Региональная и местная дорожная сеть"</t>
  </si>
  <si>
    <t>Софинансирование с местного бюджета на капитальный ремонт и ремонт автомобильных дорог местного значения в рамках регионального проекта "Региональная и местная дорожная сеть"</t>
  </si>
  <si>
    <t>20 1 00 00000</t>
  </si>
  <si>
    <t>Подпрограмма Формирование современной городской среды Шкотовского муниципального округа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</si>
  <si>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</si>
  <si>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</si>
  <si>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20 1 И4 55550</t>
  </si>
  <si>
    <t>Софинансирование из местного бюджета на реализацию программ формирования современной городской среды</t>
  </si>
  <si>
    <t>20 1 И4 00000</t>
  </si>
  <si>
    <t>Мероприятия по озеленению территории пгт. Смолояниново</t>
  </si>
  <si>
    <t>20 4 01 20250</t>
  </si>
  <si>
    <t>Реализация проектов инициативного бюджетирования по направлению "Твой проект" (Парк Культуры и спорта с. Стеклянуха)</t>
  </si>
  <si>
    <t>Софинансирование из местного бюджета на реализацию проектов инициативного бюджетирования по направлению "Твой проект" (Парк Культуры и спорта с. Стеклянуха)</t>
  </si>
  <si>
    <t>Реализация проектов инициативного бюджетирования по направлению "Твой проект" ("Радость детям -Шаг в будущее!!!" пгт Смоляниново)</t>
  </si>
  <si>
    <t>Софинансирование из местного бюджета на hеализаци. проектов инициативного бюджетирования по направлению "Твой проект" ("Радость детям -Шаг в будущее!!!" пгт Смоляниново)</t>
  </si>
  <si>
    <t>Содержание муниципального жилья Шкотовского муниципального округа</t>
  </si>
  <si>
    <t>Расходы на организацию профессиональной подготовки, переподготовки и  повышения квалификации</t>
  </si>
  <si>
    <t>99 9 99 20400</t>
  </si>
  <si>
    <t>99 9 99 20440</t>
  </si>
  <si>
    <t>Основное мероприятие "Обеспечение деятельности муниципальное казенное учреждение  "Управление культуры" Шкотовского муниципального округа</t>
  </si>
  <si>
    <t>Основное мероприятие "Обеспечение деятельности Муниципального казенного учреждения "Управление культуры" Шкотовского муниципального округа"</t>
  </si>
  <si>
    <t>% исполнения от первоначального плана</t>
  </si>
  <si>
    <t>% исполнения от плана с учетом внесенных изменений</t>
  </si>
  <si>
    <t>6=4-5</t>
  </si>
  <si>
    <t>7=5/3*100</t>
  </si>
  <si>
    <t>8=5/4*100</t>
  </si>
  <si>
    <t xml:space="preserve">Отчет об исполнении расходной части бюджета Шкотовского муниципального округа на 01 апреля 2025 год по муниципальным программам и непрограммным направлениям деятельности </t>
  </si>
  <si>
    <t>Первоначальный бюджет на 2025 год (№ 32-МПА от 24.12.2024)</t>
  </si>
  <si>
    <t>Назначено с учетом внесенных изменений на 2025 год (март 2025) Решение №03-МПА от 25.03.2025</t>
  </si>
  <si>
    <t>Исполнено на 01 апреля</t>
  </si>
  <si>
    <t>Отклонения от плана с учетом внесенных изменений  (+,-)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</si>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</sst>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6" fillId="0" borderId="2" xfId="0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wrapText="1"/>
    </xf>
    <xf numFmtId="4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1" fontId="7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2" xfId="3" applyNumberFormat="1" applyFont="1" applyFill="1" applyBorder="1" applyAlignment="1">
      <alignment horizontal="center" vertical="center"/>
    </xf>
    <xf numFmtId="4" fontId="6" fillId="0" borderId="2" xfId="3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0" fontId="7" fillId="0" borderId="8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top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164" fontId="0" fillId="0" borderId="0" xfId="3" applyFont="1" applyFill="1"/>
    <xf numFmtId="164" fontId="0" fillId="0" borderId="0" xfId="3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vertical="top"/>
    </xf>
    <xf numFmtId="2" fontId="0" fillId="0" borderId="0" xfId="0" applyNumberFormat="1" applyFont="1" applyFill="1" applyAlignment="1">
      <alignment vertical="top"/>
    </xf>
    <xf numFmtId="4" fontId="0" fillId="0" borderId="0" xfId="0" applyNumberFormat="1" applyFont="1" applyFill="1"/>
    <xf numFmtId="0" fontId="0" fillId="0" borderId="0" xfId="0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65" fontId="10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0" fontId="2" fillId="0" borderId="0" xfId="0" applyFont="1" applyAlignment="1">
      <alignment horizontal="right"/>
    </xf>
    <xf numFmtId="2" fontId="10" fillId="0" borderId="0" xfId="0" applyNumberFormat="1" applyFont="1" applyFill="1" applyAlignment="1">
      <alignment horizontal="center" wrapText="1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14"/>
  <sheetViews>
    <sheetView showGridLines="0" tabSelected="1" zoomScale="85" zoomScaleNormal="85" zoomScaleSheetLayoutView="70" workbookViewId="0">
      <selection activeCell="A4" sqref="A4:H4"/>
    </sheetView>
  </sheetViews>
  <sheetFormatPr defaultColWidth="8.88671875" defaultRowHeight="13.2" outlineLevelRow="5" x14ac:dyDescent="0.25"/>
  <cols>
    <col min="1" max="1" width="78" style="1" customWidth="1"/>
    <col min="2" max="2" width="15.88671875" style="2" customWidth="1"/>
    <col min="3" max="3" width="20.5546875" style="2" customWidth="1"/>
    <col min="4" max="4" width="27.109375" style="84" customWidth="1"/>
    <col min="5" max="6" width="19.33203125" style="2" customWidth="1"/>
    <col min="7" max="7" width="23" style="2" customWidth="1"/>
    <col min="8" max="8" width="24" style="2" customWidth="1"/>
    <col min="9" max="16384" width="8.88671875" style="2"/>
  </cols>
  <sheetData>
    <row r="3" spans="1:12" ht="28.2" customHeight="1" x14ac:dyDescent="0.3">
      <c r="A3" s="2"/>
      <c r="C3" s="84"/>
      <c r="D3" s="2"/>
      <c r="F3" s="104"/>
      <c r="G3" s="104"/>
      <c r="H3" s="104"/>
      <c r="J3" s="85"/>
      <c r="K3" s="85"/>
      <c r="L3" s="85"/>
    </row>
    <row r="4" spans="1:12" s="3" customFormat="1" ht="36.6" customHeight="1" x14ac:dyDescent="0.3">
      <c r="A4" s="105" t="s">
        <v>535</v>
      </c>
      <c r="B4" s="105"/>
      <c r="C4" s="105"/>
      <c r="D4" s="105"/>
      <c r="E4" s="105"/>
      <c r="F4" s="105"/>
      <c r="G4" s="105"/>
      <c r="H4" s="105"/>
      <c r="I4" s="86"/>
      <c r="J4" s="87"/>
      <c r="K4" s="87"/>
      <c r="L4" s="88"/>
    </row>
    <row r="5" spans="1:12" s="3" customFormat="1" ht="57" customHeight="1" thickBot="1" x14ac:dyDescent="0.4">
      <c r="A5" s="89"/>
      <c r="B5" s="89"/>
      <c r="C5" s="90"/>
      <c r="D5" s="91"/>
      <c r="E5" s="91"/>
      <c r="F5" s="91"/>
      <c r="G5" s="90"/>
      <c r="H5" s="92" t="s">
        <v>111</v>
      </c>
      <c r="J5" s="88"/>
      <c r="K5" s="88"/>
      <c r="L5" s="88"/>
    </row>
    <row r="6" spans="1:12" s="3" customFormat="1" ht="84" x14ac:dyDescent="0.3">
      <c r="A6" s="93" t="s">
        <v>25</v>
      </c>
      <c r="B6" s="94" t="s">
        <v>26</v>
      </c>
      <c r="C6" s="95" t="s">
        <v>536</v>
      </c>
      <c r="D6" s="96" t="s">
        <v>537</v>
      </c>
      <c r="E6" s="94" t="s">
        <v>538</v>
      </c>
      <c r="F6" s="94" t="s">
        <v>539</v>
      </c>
      <c r="G6" s="97" t="s">
        <v>530</v>
      </c>
      <c r="H6" s="98" t="s">
        <v>531</v>
      </c>
      <c r="J6" s="88"/>
      <c r="K6" s="88"/>
      <c r="L6" s="88"/>
    </row>
    <row r="7" spans="1:12" s="3" customFormat="1" ht="43.95" customHeight="1" x14ac:dyDescent="0.3">
      <c r="A7" s="99">
        <v>1</v>
      </c>
      <c r="B7" s="100">
        <v>2</v>
      </c>
      <c r="C7" s="101">
        <v>3</v>
      </c>
      <c r="D7" s="102">
        <v>4</v>
      </c>
      <c r="E7" s="101">
        <v>5</v>
      </c>
      <c r="F7" s="100" t="s">
        <v>532</v>
      </c>
      <c r="G7" s="101" t="s">
        <v>533</v>
      </c>
      <c r="H7" s="100" t="s">
        <v>534</v>
      </c>
      <c r="J7" s="88"/>
      <c r="K7" s="88"/>
      <c r="L7" s="88"/>
    </row>
    <row r="8" spans="1:12" s="8" customFormat="1" ht="46.95" customHeight="1" x14ac:dyDescent="0.3">
      <c r="A8" s="6" t="s">
        <v>215</v>
      </c>
      <c r="B8" s="6" t="s">
        <v>2</v>
      </c>
      <c r="C8" s="7">
        <f>C9</f>
        <v>300000</v>
      </c>
      <c r="D8" s="7">
        <f t="shared" ref="D8:E9" si="0">D9</f>
        <v>300000</v>
      </c>
      <c r="E8" s="7">
        <f t="shared" si="0"/>
        <v>16520</v>
      </c>
      <c r="F8" s="7">
        <f>$D8-$E8</f>
        <v>283480</v>
      </c>
      <c r="G8" s="7">
        <f>$E8/$C8*100</f>
        <v>5.51</v>
      </c>
      <c r="H8" s="7">
        <f>$E8/$D8*100</f>
        <v>5.51</v>
      </c>
      <c r="J8" s="103"/>
    </row>
    <row r="9" spans="1:12" s="8" customFormat="1" ht="31.2" customHeight="1" x14ac:dyDescent="0.3">
      <c r="A9" s="9" t="s">
        <v>216</v>
      </c>
      <c r="B9" s="6" t="s">
        <v>3</v>
      </c>
      <c r="C9" s="7">
        <f>C10</f>
        <v>300000</v>
      </c>
      <c r="D9" s="7">
        <f t="shared" si="0"/>
        <v>300000</v>
      </c>
      <c r="E9" s="7">
        <f t="shared" si="0"/>
        <v>16520</v>
      </c>
      <c r="F9" s="7">
        <f t="shared" ref="F9:F72" si="1">$D9-$E9</f>
        <v>283480</v>
      </c>
      <c r="G9" s="7">
        <f t="shared" ref="G9:G72" si="2">$E9/$C9*100</f>
        <v>5.51</v>
      </c>
      <c r="H9" s="7">
        <f t="shared" ref="H9:H72" si="3">$E9/$D9*100</f>
        <v>5.51</v>
      </c>
      <c r="J9" s="103"/>
    </row>
    <row r="10" spans="1:12" s="12" customFormat="1" ht="31.2" customHeight="1" x14ac:dyDescent="0.3">
      <c r="A10" s="10" t="s">
        <v>217</v>
      </c>
      <c r="B10" s="4" t="s">
        <v>4</v>
      </c>
      <c r="C10" s="11">
        <v>300000</v>
      </c>
      <c r="D10" s="11">
        <v>300000</v>
      </c>
      <c r="E10" s="11">
        <v>16520</v>
      </c>
      <c r="F10" s="11">
        <f t="shared" si="1"/>
        <v>283480</v>
      </c>
      <c r="G10" s="11">
        <f t="shared" si="2"/>
        <v>5.51</v>
      </c>
      <c r="H10" s="11">
        <f t="shared" si="3"/>
        <v>5.51</v>
      </c>
      <c r="J10" s="103"/>
    </row>
    <row r="11" spans="1:12" s="8" customFormat="1" ht="46.95" customHeight="1" x14ac:dyDescent="0.3">
      <c r="A11" s="13" t="s">
        <v>307</v>
      </c>
      <c r="B11" s="14" t="s">
        <v>0</v>
      </c>
      <c r="C11" s="7">
        <f>C12+C22+C44+C51+C58</f>
        <v>733649165.50999999</v>
      </c>
      <c r="D11" s="7">
        <f t="shared" ref="D11:E11" si="4">D12+D22+D44+D51+D58</f>
        <v>750349439.01999998</v>
      </c>
      <c r="E11" s="7">
        <f t="shared" si="4"/>
        <v>161313970.65000001</v>
      </c>
      <c r="F11" s="7">
        <f t="shared" si="1"/>
        <v>589035468.37</v>
      </c>
      <c r="G11" s="7">
        <f t="shared" si="2"/>
        <v>21.99</v>
      </c>
      <c r="H11" s="7">
        <f t="shared" si="3"/>
        <v>21.5</v>
      </c>
      <c r="J11" s="103"/>
    </row>
    <row r="12" spans="1:12" s="8" customFormat="1" ht="31.2" customHeight="1" x14ac:dyDescent="0.3">
      <c r="A12" s="15" t="s">
        <v>158</v>
      </c>
      <c r="B12" s="16" t="s">
        <v>18</v>
      </c>
      <c r="C12" s="17">
        <f>C13+C17+C19</f>
        <v>189490678.22</v>
      </c>
      <c r="D12" s="17">
        <f t="shared" ref="D12:E12" si="5">D13+D17+D19</f>
        <v>190636279.59</v>
      </c>
      <c r="E12" s="17">
        <f t="shared" si="5"/>
        <v>40528603.719999999</v>
      </c>
      <c r="F12" s="17">
        <f t="shared" si="1"/>
        <v>150107675.87</v>
      </c>
      <c r="G12" s="17">
        <f t="shared" si="2"/>
        <v>21.39</v>
      </c>
      <c r="H12" s="17">
        <f t="shared" si="3"/>
        <v>21.26</v>
      </c>
      <c r="J12" s="103"/>
    </row>
    <row r="13" spans="1:12" s="8" customFormat="1" ht="31.2" customHeight="1" x14ac:dyDescent="0.3">
      <c r="A13" s="18" t="s">
        <v>100</v>
      </c>
      <c r="B13" s="16" t="s">
        <v>101</v>
      </c>
      <c r="C13" s="19">
        <f>C14+C15+C16</f>
        <v>179986808.25</v>
      </c>
      <c r="D13" s="19">
        <f t="shared" ref="D13:E13" si="6">D14+D15+D16</f>
        <v>190636279.59</v>
      </c>
      <c r="E13" s="19">
        <f t="shared" si="6"/>
        <v>40528603.719999999</v>
      </c>
      <c r="F13" s="19">
        <f t="shared" si="1"/>
        <v>150107675.87</v>
      </c>
      <c r="G13" s="19">
        <f t="shared" si="2"/>
        <v>22.52</v>
      </c>
      <c r="H13" s="19">
        <f t="shared" si="3"/>
        <v>21.26</v>
      </c>
      <c r="J13" s="103"/>
    </row>
    <row r="14" spans="1:12" s="8" customFormat="1" ht="31.2" customHeight="1" x14ac:dyDescent="0.3">
      <c r="A14" s="20" t="s">
        <v>40</v>
      </c>
      <c r="B14" s="5" t="s">
        <v>97</v>
      </c>
      <c r="C14" s="11">
        <f>90245750</f>
        <v>90245750</v>
      </c>
      <c r="D14" s="11">
        <f t="shared" ref="D14" si="7">90245750+16644148-0.1</f>
        <v>106889897.90000001</v>
      </c>
      <c r="E14" s="11">
        <v>21721553.359999999</v>
      </c>
      <c r="F14" s="11">
        <f t="shared" si="1"/>
        <v>85168344.540000007</v>
      </c>
      <c r="G14" s="11">
        <f t="shared" si="2"/>
        <v>24.07</v>
      </c>
      <c r="H14" s="11">
        <f t="shared" si="3"/>
        <v>20.32</v>
      </c>
      <c r="J14" s="103"/>
    </row>
    <row r="15" spans="1:12" s="8" customFormat="1" ht="78" customHeight="1" x14ac:dyDescent="0.3">
      <c r="A15" s="20" t="s">
        <v>42</v>
      </c>
      <c r="B15" s="5" t="s">
        <v>98</v>
      </c>
      <c r="C15" s="11">
        <f>1036713.25</f>
        <v>1036713.25</v>
      </c>
      <c r="D15" s="11">
        <f t="shared" ref="D15" si="8">1036713.25+1335460.44</f>
        <v>2372173.69</v>
      </c>
      <c r="E15" s="11">
        <v>598705.36</v>
      </c>
      <c r="F15" s="11">
        <f t="shared" si="1"/>
        <v>1773468.33</v>
      </c>
      <c r="G15" s="11">
        <f t="shared" si="2"/>
        <v>57.75</v>
      </c>
      <c r="H15" s="11">
        <f t="shared" si="3"/>
        <v>25.24</v>
      </c>
      <c r="J15" s="103"/>
    </row>
    <row r="16" spans="1:12" s="8" customFormat="1" ht="62.4" customHeight="1" x14ac:dyDescent="0.3">
      <c r="A16" s="20" t="s">
        <v>135</v>
      </c>
      <c r="B16" s="5" t="s">
        <v>99</v>
      </c>
      <c r="C16" s="21">
        <f>85704345+3000000</f>
        <v>88704345</v>
      </c>
      <c r="D16" s="21">
        <f t="shared" ref="D16" si="9">85704345+3000000-3000000-4330137</f>
        <v>81374208</v>
      </c>
      <c r="E16" s="21">
        <v>18208345</v>
      </c>
      <c r="F16" s="21">
        <f t="shared" si="1"/>
        <v>63165863</v>
      </c>
      <c r="G16" s="21">
        <f t="shared" si="2"/>
        <v>20.53</v>
      </c>
      <c r="H16" s="21">
        <f t="shared" si="3"/>
        <v>22.38</v>
      </c>
      <c r="J16" s="103"/>
    </row>
    <row r="17" spans="1:10" s="8" customFormat="1" ht="31.2" customHeight="1" x14ac:dyDescent="0.3">
      <c r="A17" s="18" t="s">
        <v>159</v>
      </c>
      <c r="B17" s="16" t="s">
        <v>160</v>
      </c>
      <c r="C17" s="19">
        <f>C18</f>
        <v>1112080.5</v>
      </c>
      <c r="D17" s="19">
        <f t="shared" ref="D17:E17" si="10">D18</f>
        <v>0</v>
      </c>
      <c r="E17" s="19">
        <f t="shared" si="10"/>
        <v>0</v>
      </c>
      <c r="F17" s="19">
        <f t="shared" si="1"/>
        <v>0</v>
      </c>
      <c r="G17" s="19">
        <f t="shared" si="2"/>
        <v>0</v>
      </c>
      <c r="H17" s="19" t="s">
        <v>540</v>
      </c>
      <c r="J17" s="103"/>
    </row>
    <row r="18" spans="1:10" s="12" customFormat="1" ht="62.4" customHeight="1" x14ac:dyDescent="0.3">
      <c r="A18" s="20" t="s">
        <v>148</v>
      </c>
      <c r="B18" s="5" t="s">
        <v>149</v>
      </c>
      <c r="C18" s="11">
        <f>1112080.5</f>
        <v>1112080.5</v>
      </c>
      <c r="D18" s="11">
        <f t="shared" ref="D18:E18" si="11">1112080.5-1112080.5</f>
        <v>0</v>
      </c>
      <c r="E18" s="11">
        <f t="shared" si="11"/>
        <v>0</v>
      </c>
      <c r="F18" s="11">
        <f t="shared" si="1"/>
        <v>0</v>
      </c>
      <c r="G18" s="11">
        <f t="shared" si="2"/>
        <v>0</v>
      </c>
      <c r="H18" s="11" t="s">
        <v>540</v>
      </c>
      <c r="J18" s="103"/>
    </row>
    <row r="19" spans="1:10" s="8" customFormat="1" ht="62.4" customHeight="1" x14ac:dyDescent="0.3">
      <c r="A19" s="18" t="s">
        <v>308</v>
      </c>
      <c r="B19" s="16" t="s">
        <v>278</v>
      </c>
      <c r="C19" s="19">
        <f>C21+C20</f>
        <v>8391789.4700000007</v>
      </c>
      <c r="D19" s="19">
        <f t="shared" ref="D19:E19" si="12">D21+D20</f>
        <v>0</v>
      </c>
      <c r="E19" s="19">
        <f t="shared" si="12"/>
        <v>0</v>
      </c>
      <c r="F19" s="19">
        <f t="shared" si="1"/>
        <v>0</v>
      </c>
      <c r="G19" s="19">
        <f t="shared" si="2"/>
        <v>0</v>
      </c>
      <c r="H19" s="19" t="s">
        <v>540</v>
      </c>
      <c r="J19" s="103"/>
    </row>
    <row r="20" spans="1:10" s="8" customFormat="1" ht="93.6" customHeight="1" x14ac:dyDescent="0.3">
      <c r="A20" s="20" t="s">
        <v>347</v>
      </c>
      <c r="B20" s="22" t="s">
        <v>279</v>
      </c>
      <c r="C20" s="11">
        <f>7972200</f>
        <v>7972200</v>
      </c>
      <c r="D20" s="11">
        <f t="shared" ref="D20:E20" si="13">7972200-7972200</f>
        <v>0</v>
      </c>
      <c r="E20" s="11">
        <f t="shared" si="13"/>
        <v>0</v>
      </c>
      <c r="F20" s="11">
        <f t="shared" si="1"/>
        <v>0</v>
      </c>
      <c r="G20" s="11">
        <f t="shared" si="2"/>
        <v>0</v>
      </c>
      <c r="H20" s="11" t="s">
        <v>540</v>
      </c>
      <c r="J20" s="103"/>
    </row>
    <row r="21" spans="1:10" s="8" customFormat="1" ht="78" customHeight="1" x14ac:dyDescent="0.3">
      <c r="A21" s="20" t="s">
        <v>272</v>
      </c>
      <c r="B21" s="22" t="s">
        <v>279</v>
      </c>
      <c r="C21" s="11">
        <f>419589.47</f>
        <v>419589.47</v>
      </c>
      <c r="D21" s="11">
        <f t="shared" ref="D21:E21" si="14">419589.47-419589.47</f>
        <v>0</v>
      </c>
      <c r="E21" s="11">
        <f t="shared" si="14"/>
        <v>0</v>
      </c>
      <c r="F21" s="11">
        <f t="shared" si="1"/>
        <v>0</v>
      </c>
      <c r="G21" s="11">
        <f t="shared" si="2"/>
        <v>0</v>
      </c>
      <c r="H21" s="11" t="s">
        <v>540</v>
      </c>
      <c r="J21" s="103"/>
    </row>
    <row r="22" spans="1:10" s="8" customFormat="1" ht="31.2" customHeight="1" x14ac:dyDescent="0.3">
      <c r="A22" s="15" t="s">
        <v>309</v>
      </c>
      <c r="B22" s="16" t="s">
        <v>19</v>
      </c>
      <c r="C22" s="17">
        <f>C23+C28+C32+C41</f>
        <v>476693361.77999997</v>
      </c>
      <c r="D22" s="17">
        <f t="shared" ref="D22:E22" si="15">D23+D28+D32+D41</f>
        <v>457306848.75999999</v>
      </c>
      <c r="E22" s="17">
        <f t="shared" si="15"/>
        <v>100680413.18000001</v>
      </c>
      <c r="F22" s="17">
        <f t="shared" si="1"/>
        <v>356626435.57999998</v>
      </c>
      <c r="G22" s="17">
        <f t="shared" si="2"/>
        <v>21.12</v>
      </c>
      <c r="H22" s="17">
        <f t="shared" si="3"/>
        <v>22.02</v>
      </c>
      <c r="J22" s="103"/>
    </row>
    <row r="23" spans="1:10" s="8" customFormat="1" ht="31.2" customHeight="1" x14ac:dyDescent="0.3">
      <c r="A23" s="23" t="s">
        <v>164</v>
      </c>
      <c r="B23" s="16" t="s">
        <v>161</v>
      </c>
      <c r="C23" s="19">
        <f>C24+C25+C26+C27</f>
        <v>427907480.74000001</v>
      </c>
      <c r="D23" s="19">
        <f t="shared" ref="D23:E23" si="16">D24+D25+D26+D27</f>
        <v>430230895.72000003</v>
      </c>
      <c r="E23" s="19">
        <f t="shared" si="16"/>
        <v>95518135.180000007</v>
      </c>
      <c r="F23" s="19">
        <f t="shared" si="1"/>
        <v>334712760.54000002</v>
      </c>
      <c r="G23" s="19">
        <f t="shared" si="2"/>
        <v>22.32</v>
      </c>
      <c r="H23" s="19">
        <f t="shared" si="3"/>
        <v>22.2</v>
      </c>
      <c r="J23" s="103"/>
    </row>
    <row r="24" spans="1:10" s="8" customFormat="1" ht="124.95" customHeight="1" x14ac:dyDescent="0.3">
      <c r="A24" s="24" t="s">
        <v>147</v>
      </c>
      <c r="B24" s="5" t="s">
        <v>104</v>
      </c>
      <c r="C24" s="11">
        <f>22464000</f>
        <v>22464000</v>
      </c>
      <c r="D24" s="11">
        <f t="shared" ref="D24:E24" si="17">22464000-22464000</f>
        <v>0</v>
      </c>
      <c r="E24" s="11">
        <f t="shared" si="17"/>
        <v>0</v>
      </c>
      <c r="F24" s="11">
        <f t="shared" si="1"/>
        <v>0</v>
      </c>
      <c r="G24" s="11">
        <f t="shared" si="2"/>
        <v>0</v>
      </c>
      <c r="H24" s="11" t="s">
        <v>540</v>
      </c>
      <c r="J24" s="103"/>
    </row>
    <row r="25" spans="1:10" s="8" customFormat="1" ht="31.2" customHeight="1" x14ac:dyDescent="0.3">
      <c r="A25" s="20" t="s">
        <v>40</v>
      </c>
      <c r="B25" s="5" t="s">
        <v>94</v>
      </c>
      <c r="C25" s="11">
        <f>128367390.78</f>
        <v>128367390.78</v>
      </c>
      <c r="D25" s="11">
        <f t="shared" ref="D25" si="18">128367390.78+31010762</f>
        <v>159378152.78</v>
      </c>
      <c r="E25" s="11">
        <v>35910908.479999997</v>
      </c>
      <c r="F25" s="11">
        <f t="shared" si="1"/>
        <v>123467244.3</v>
      </c>
      <c r="G25" s="11">
        <f t="shared" si="2"/>
        <v>27.98</v>
      </c>
      <c r="H25" s="11">
        <f t="shared" si="3"/>
        <v>22.53</v>
      </c>
      <c r="J25" s="103"/>
    </row>
    <row r="26" spans="1:10" s="8" customFormat="1" ht="78" customHeight="1" x14ac:dyDescent="0.3">
      <c r="A26" s="20" t="s">
        <v>42</v>
      </c>
      <c r="B26" s="5" t="s">
        <v>95</v>
      </c>
      <c r="C26" s="11">
        <f>1969696.96</f>
        <v>1969696.96</v>
      </c>
      <c r="D26" s="11">
        <f t="shared" ref="D26" si="19">1969696.96+4182071.98</f>
        <v>6151768.9400000004</v>
      </c>
      <c r="E26" s="11">
        <v>245187.7</v>
      </c>
      <c r="F26" s="11">
        <f t="shared" si="1"/>
        <v>5906581.2400000002</v>
      </c>
      <c r="G26" s="11">
        <f t="shared" si="2"/>
        <v>12.45</v>
      </c>
      <c r="H26" s="11">
        <f t="shared" si="3"/>
        <v>3.99</v>
      </c>
      <c r="J26" s="103"/>
    </row>
    <row r="27" spans="1:10" s="8" customFormat="1" ht="93.6" customHeight="1" x14ac:dyDescent="0.3">
      <c r="A27" s="25" t="s">
        <v>134</v>
      </c>
      <c r="B27" s="5" t="s">
        <v>96</v>
      </c>
      <c r="C27" s="21">
        <f>275106393</f>
        <v>275106393</v>
      </c>
      <c r="D27" s="21">
        <f t="shared" ref="D27" si="20">275106393-10405419</f>
        <v>264700974</v>
      </c>
      <c r="E27" s="21">
        <v>59362039</v>
      </c>
      <c r="F27" s="21">
        <f t="shared" si="1"/>
        <v>205338935</v>
      </c>
      <c r="G27" s="21">
        <f t="shared" si="2"/>
        <v>21.58</v>
      </c>
      <c r="H27" s="21">
        <f t="shared" si="3"/>
        <v>22.43</v>
      </c>
      <c r="J27" s="103"/>
    </row>
    <row r="28" spans="1:10" s="8" customFormat="1" ht="31.2" customHeight="1" x14ac:dyDescent="0.3">
      <c r="A28" s="18" t="s">
        <v>163</v>
      </c>
      <c r="B28" s="16" t="s">
        <v>162</v>
      </c>
      <c r="C28" s="19">
        <f>C29+C30+C31</f>
        <v>23254300</v>
      </c>
      <c r="D28" s="19">
        <f t="shared" ref="D28:E28" si="21">D29+D30+D31</f>
        <v>24045650</v>
      </c>
      <c r="E28" s="19">
        <f t="shared" si="21"/>
        <v>5162278</v>
      </c>
      <c r="F28" s="19">
        <f t="shared" si="1"/>
        <v>18883372</v>
      </c>
      <c r="G28" s="19">
        <f t="shared" si="2"/>
        <v>22.2</v>
      </c>
      <c r="H28" s="19">
        <f t="shared" si="3"/>
        <v>21.47</v>
      </c>
      <c r="J28" s="103"/>
    </row>
    <row r="29" spans="1:10" s="8" customFormat="1" ht="31.2" customHeight="1" x14ac:dyDescent="0.3">
      <c r="A29" s="20" t="s">
        <v>168</v>
      </c>
      <c r="B29" s="26" t="s">
        <v>167</v>
      </c>
      <c r="C29" s="21">
        <v>1033600</v>
      </c>
      <c r="D29" s="21">
        <v>1033600</v>
      </c>
      <c r="E29" s="21">
        <v>202115</v>
      </c>
      <c r="F29" s="21">
        <f t="shared" si="1"/>
        <v>831485</v>
      </c>
      <c r="G29" s="21">
        <f t="shared" si="2"/>
        <v>19.55</v>
      </c>
      <c r="H29" s="21">
        <f t="shared" si="3"/>
        <v>19.55</v>
      </c>
      <c r="J29" s="103"/>
    </row>
    <row r="30" spans="1:10" s="8" customFormat="1" ht="62.4" customHeight="1" x14ac:dyDescent="0.3">
      <c r="A30" s="20" t="s">
        <v>137</v>
      </c>
      <c r="B30" s="26" t="s">
        <v>165</v>
      </c>
      <c r="C30" s="21">
        <v>7281950</v>
      </c>
      <c r="D30" s="21">
        <v>7281950</v>
      </c>
      <c r="E30" s="21">
        <v>1822123</v>
      </c>
      <c r="F30" s="21">
        <f t="shared" si="1"/>
        <v>5459827</v>
      </c>
      <c r="G30" s="21">
        <f t="shared" si="2"/>
        <v>25.02</v>
      </c>
      <c r="H30" s="21">
        <f t="shared" si="3"/>
        <v>25.02</v>
      </c>
      <c r="J30" s="103"/>
    </row>
    <row r="31" spans="1:10" s="8" customFormat="1" ht="62.4" customHeight="1" x14ac:dyDescent="0.3">
      <c r="A31" s="24" t="s">
        <v>139</v>
      </c>
      <c r="B31" s="26" t="s">
        <v>166</v>
      </c>
      <c r="C31" s="21">
        <f>14938750</f>
        <v>14938750</v>
      </c>
      <c r="D31" s="21">
        <f t="shared" ref="D31" si="22">14938750+791350</f>
        <v>15730100</v>
      </c>
      <c r="E31" s="21">
        <v>3138040</v>
      </c>
      <c r="F31" s="21">
        <f t="shared" si="1"/>
        <v>12592060</v>
      </c>
      <c r="G31" s="21">
        <f t="shared" si="2"/>
        <v>21.01</v>
      </c>
      <c r="H31" s="21">
        <f t="shared" si="3"/>
        <v>19.95</v>
      </c>
      <c r="J31" s="103"/>
    </row>
    <row r="32" spans="1:10" s="8" customFormat="1" ht="78" customHeight="1" x14ac:dyDescent="0.3">
      <c r="A32" s="15" t="s">
        <v>169</v>
      </c>
      <c r="B32" s="16" t="s">
        <v>170</v>
      </c>
      <c r="C32" s="19">
        <f>C39+C40+C33+C34+C35+C36+C37+C38</f>
        <v>11297686.300000001</v>
      </c>
      <c r="D32" s="19">
        <f t="shared" ref="D32:E32" si="23">D39+D40+D33+D34+D35+D36+D37+D38</f>
        <v>3030303.04</v>
      </c>
      <c r="E32" s="19">
        <f t="shared" si="23"/>
        <v>0</v>
      </c>
      <c r="F32" s="19">
        <f t="shared" si="1"/>
        <v>3030303.04</v>
      </c>
      <c r="G32" s="19">
        <f t="shared" si="2"/>
        <v>0</v>
      </c>
      <c r="H32" s="19">
        <f t="shared" si="3"/>
        <v>0</v>
      </c>
      <c r="J32" s="103"/>
    </row>
    <row r="33" spans="1:10" s="8" customFormat="1" ht="46.95" customHeight="1" x14ac:dyDescent="0.3">
      <c r="A33" s="10" t="s">
        <v>497</v>
      </c>
      <c r="B33" s="4" t="s">
        <v>339</v>
      </c>
      <c r="C33" s="11">
        <v>0</v>
      </c>
      <c r="D33" s="11">
        <f t="shared" ref="D33" si="24">0+1500000</f>
        <v>1500000</v>
      </c>
      <c r="E33" s="11">
        <v>0</v>
      </c>
      <c r="F33" s="11">
        <f t="shared" si="1"/>
        <v>1500000</v>
      </c>
      <c r="G33" s="11" t="s">
        <v>540</v>
      </c>
      <c r="H33" s="11">
        <f t="shared" si="3"/>
        <v>0</v>
      </c>
      <c r="J33" s="103"/>
    </row>
    <row r="34" spans="1:10" s="8" customFormat="1" ht="62.4" customHeight="1" x14ac:dyDescent="0.3">
      <c r="A34" s="10" t="s">
        <v>498</v>
      </c>
      <c r="B34" s="4" t="s">
        <v>339</v>
      </c>
      <c r="C34" s="11">
        <v>15151.52</v>
      </c>
      <c r="D34" s="11">
        <v>15151.52</v>
      </c>
      <c r="E34" s="11">
        <v>0</v>
      </c>
      <c r="F34" s="11">
        <f t="shared" si="1"/>
        <v>15151.52</v>
      </c>
      <c r="G34" s="11">
        <f t="shared" si="2"/>
        <v>0</v>
      </c>
      <c r="H34" s="11">
        <f t="shared" si="3"/>
        <v>0</v>
      </c>
      <c r="J34" s="103"/>
    </row>
    <row r="35" spans="1:10" s="8" customFormat="1" ht="46.95" customHeight="1" x14ac:dyDescent="0.3">
      <c r="A35" s="10" t="s">
        <v>499</v>
      </c>
      <c r="B35" s="4" t="s">
        <v>340</v>
      </c>
      <c r="C35" s="11">
        <v>0</v>
      </c>
      <c r="D35" s="11">
        <f t="shared" ref="D35" si="25">0+1500000</f>
        <v>1500000</v>
      </c>
      <c r="E35" s="11">
        <v>0</v>
      </c>
      <c r="F35" s="11">
        <f t="shared" si="1"/>
        <v>1500000</v>
      </c>
      <c r="G35" s="11" t="s">
        <v>540</v>
      </c>
      <c r="H35" s="11">
        <f t="shared" si="3"/>
        <v>0</v>
      </c>
      <c r="J35" s="103"/>
    </row>
    <row r="36" spans="1:10" s="8" customFormat="1" ht="62.4" customHeight="1" x14ac:dyDescent="0.3">
      <c r="A36" s="10" t="s">
        <v>500</v>
      </c>
      <c r="B36" s="4" t="s">
        <v>340</v>
      </c>
      <c r="C36" s="11">
        <v>15151.52</v>
      </c>
      <c r="D36" s="11">
        <v>15151.52</v>
      </c>
      <c r="E36" s="11">
        <v>0</v>
      </c>
      <c r="F36" s="11">
        <f t="shared" si="1"/>
        <v>15151.52</v>
      </c>
      <c r="G36" s="11">
        <f t="shared" si="2"/>
        <v>0</v>
      </c>
      <c r="H36" s="11">
        <f t="shared" si="3"/>
        <v>0</v>
      </c>
      <c r="J36" s="103"/>
    </row>
    <row r="37" spans="1:10" s="8" customFormat="1" ht="46.95" customHeight="1" x14ac:dyDescent="0.3">
      <c r="A37" s="10" t="s">
        <v>361</v>
      </c>
      <c r="B37" s="4" t="s">
        <v>359</v>
      </c>
      <c r="C37" s="11">
        <v>0</v>
      </c>
      <c r="D37" s="11">
        <v>0</v>
      </c>
      <c r="E37" s="11">
        <v>0</v>
      </c>
      <c r="F37" s="11">
        <f t="shared" si="1"/>
        <v>0</v>
      </c>
      <c r="G37" s="11" t="s">
        <v>540</v>
      </c>
      <c r="H37" s="11" t="s">
        <v>540</v>
      </c>
      <c r="J37" s="103"/>
    </row>
    <row r="38" spans="1:10" s="8" customFormat="1" ht="62.4" customHeight="1" x14ac:dyDescent="0.3">
      <c r="A38" s="10" t="s">
        <v>360</v>
      </c>
      <c r="B38" s="4" t="s">
        <v>358</v>
      </c>
      <c r="C38" s="11">
        <f>11267383.26</f>
        <v>11267383.26</v>
      </c>
      <c r="D38" s="11">
        <f t="shared" ref="D38:E38" si="26">11267383.26-11267383.26</f>
        <v>0</v>
      </c>
      <c r="E38" s="11">
        <f t="shared" si="26"/>
        <v>0</v>
      </c>
      <c r="F38" s="11">
        <f t="shared" si="1"/>
        <v>0</v>
      </c>
      <c r="G38" s="11">
        <f t="shared" si="2"/>
        <v>0</v>
      </c>
      <c r="H38" s="11" t="s">
        <v>540</v>
      </c>
      <c r="J38" s="103"/>
    </row>
    <row r="39" spans="1:10" s="8" customFormat="1" ht="31.2" customHeight="1" x14ac:dyDescent="0.3">
      <c r="A39" s="24" t="s">
        <v>112</v>
      </c>
      <c r="B39" s="27" t="s">
        <v>171</v>
      </c>
      <c r="C39" s="21">
        <v>0</v>
      </c>
      <c r="D39" s="21">
        <f t="shared" ref="D39:E39" si="27">55083891.36-55083891.36</f>
        <v>0</v>
      </c>
      <c r="E39" s="21">
        <f t="shared" si="27"/>
        <v>0</v>
      </c>
      <c r="F39" s="21">
        <f t="shared" si="1"/>
        <v>0</v>
      </c>
      <c r="G39" s="21" t="s">
        <v>540</v>
      </c>
      <c r="H39" s="21" t="s">
        <v>540</v>
      </c>
      <c r="J39" s="103"/>
    </row>
    <row r="40" spans="1:10" s="8" customFormat="1" ht="31.2" customHeight="1" x14ac:dyDescent="0.3">
      <c r="A40" s="24" t="s">
        <v>113</v>
      </c>
      <c r="B40" s="27" t="s">
        <v>171</v>
      </c>
      <c r="C40" s="21">
        <v>0</v>
      </c>
      <c r="D40" s="21">
        <f t="shared" ref="D40:E40" si="28">2899152.18-2899152.18</f>
        <v>0</v>
      </c>
      <c r="E40" s="21">
        <f t="shared" si="28"/>
        <v>0</v>
      </c>
      <c r="F40" s="21">
        <f t="shared" si="1"/>
        <v>0</v>
      </c>
      <c r="G40" s="21" t="s">
        <v>540</v>
      </c>
      <c r="H40" s="21" t="s">
        <v>540</v>
      </c>
      <c r="J40" s="103"/>
    </row>
    <row r="41" spans="1:10" s="8" customFormat="1" ht="62.4" customHeight="1" x14ac:dyDescent="0.3">
      <c r="A41" s="18" t="s">
        <v>305</v>
      </c>
      <c r="B41" s="16" t="s">
        <v>273</v>
      </c>
      <c r="C41" s="19">
        <f>+C42+C43</f>
        <v>14233894.74</v>
      </c>
      <c r="D41" s="19">
        <f t="shared" ref="D41:E41" si="29">+D42+D43</f>
        <v>0</v>
      </c>
      <c r="E41" s="19">
        <f t="shared" si="29"/>
        <v>0</v>
      </c>
      <c r="F41" s="19">
        <f t="shared" si="1"/>
        <v>0</v>
      </c>
      <c r="G41" s="19">
        <f t="shared" si="2"/>
        <v>0</v>
      </c>
      <c r="H41" s="19" t="s">
        <v>540</v>
      </c>
      <c r="J41" s="103"/>
    </row>
    <row r="42" spans="1:10" s="8" customFormat="1" ht="93.6" customHeight="1" x14ac:dyDescent="0.3">
      <c r="A42" s="20" t="s">
        <v>348</v>
      </c>
      <c r="B42" s="22" t="s">
        <v>275</v>
      </c>
      <c r="C42" s="11">
        <f>13522200</f>
        <v>13522200</v>
      </c>
      <c r="D42" s="11">
        <f t="shared" ref="D42:E42" si="30">13522200-13522200</f>
        <v>0</v>
      </c>
      <c r="E42" s="11">
        <f t="shared" si="30"/>
        <v>0</v>
      </c>
      <c r="F42" s="11">
        <f t="shared" si="1"/>
        <v>0</v>
      </c>
      <c r="G42" s="11">
        <f t="shared" si="2"/>
        <v>0</v>
      </c>
      <c r="H42" s="11" t="s">
        <v>540</v>
      </c>
      <c r="J42" s="103"/>
    </row>
    <row r="43" spans="1:10" s="8" customFormat="1" ht="78" customHeight="1" x14ac:dyDescent="0.3">
      <c r="A43" s="20" t="s">
        <v>274</v>
      </c>
      <c r="B43" s="22" t="s">
        <v>275</v>
      </c>
      <c r="C43" s="11">
        <f>711694.74</f>
        <v>711694.74</v>
      </c>
      <c r="D43" s="11">
        <f t="shared" ref="D43:E43" si="31">711694.74-711694.74</f>
        <v>0</v>
      </c>
      <c r="E43" s="11">
        <f t="shared" si="31"/>
        <v>0</v>
      </c>
      <c r="F43" s="11">
        <f t="shared" si="1"/>
        <v>0</v>
      </c>
      <c r="G43" s="11">
        <f t="shared" si="2"/>
        <v>0</v>
      </c>
      <c r="H43" s="11" t="s">
        <v>540</v>
      </c>
      <c r="J43" s="103"/>
    </row>
    <row r="44" spans="1:10" s="8" customFormat="1" ht="62.4" customHeight="1" x14ac:dyDescent="0.3">
      <c r="A44" s="28" t="s">
        <v>310</v>
      </c>
      <c r="B44" s="14" t="s">
        <v>1</v>
      </c>
      <c r="C44" s="7">
        <f>C45+C47</f>
        <v>18748797.710000001</v>
      </c>
      <c r="D44" s="7">
        <f t="shared" ref="D44:E44" si="32">D45+D47</f>
        <v>22846784.710000001</v>
      </c>
      <c r="E44" s="7">
        <f t="shared" si="32"/>
        <v>3617840.73</v>
      </c>
      <c r="F44" s="7">
        <f t="shared" si="1"/>
        <v>19228943.98</v>
      </c>
      <c r="G44" s="7">
        <f t="shared" si="2"/>
        <v>19.3</v>
      </c>
      <c r="H44" s="7">
        <f t="shared" si="3"/>
        <v>15.84</v>
      </c>
      <c r="J44" s="103"/>
    </row>
    <row r="45" spans="1:10" s="8" customFormat="1" ht="31.2" customHeight="1" x14ac:dyDescent="0.3">
      <c r="A45" s="29" t="s">
        <v>173</v>
      </c>
      <c r="B45" s="14" t="s">
        <v>150</v>
      </c>
      <c r="C45" s="7">
        <f>C46</f>
        <v>13319710.560000001</v>
      </c>
      <c r="D45" s="7">
        <f t="shared" ref="D45:E45" si="33">D46</f>
        <v>16555530.560000001</v>
      </c>
      <c r="E45" s="7">
        <f t="shared" si="33"/>
        <v>3544441.33</v>
      </c>
      <c r="F45" s="7">
        <f t="shared" si="1"/>
        <v>13011089.23</v>
      </c>
      <c r="G45" s="7">
        <f t="shared" si="2"/>
        <v>26.61</v>
      </c>
      <c r="H45" s="7">
        <f t="shared" si="3"/>
        <v>21.41</v>
      </c>
      <c r="J45" s="103"/>
    </row>
    <row r="46" spans="1:10" s="8" customFormat="1" ht="31.2" customHeight="1" x14ac:dyDescent="0.3">
      <c r="A46" s="20" t="s">
        <v>151</v>
      </c>
      <c r="B46" s="30" t="s">
        <v>110</v>
      </c>
      <c r="C46" s="11">
        <f>13319710.56</f>
        <v>13319710.560000001</v>
      </c>
      <c r="D46" s="11">
        <f t="shared" ref="D46" si="34">13319710.56+2354341+881479</f>
        <v>16555530.560000001</v>
      </c>
      <c r="E46" s="11">
        <v>3544441.33</v>
      </c>
      <c r="F46" s="11">
        <f t="shared" si="1"/>
        <v>13011089.23</v>
      </c>
      <c r="G46" s="11">
        <f t="shared" si="2"/>
        <v>26.61</v>
      </c>
      <c r="H46" s="11">
        <f t="shared" si="3"/>
        <v>21.41</v>
      </c>
      <c r="J46" s="103"/>
    </row>
    <row r="47" spans="1:10" s="8" customFormat="1" ht="46.95" customHeight="1" x14ac:dyDescent="0.3">
      <c r="A47" s="28" t="s">
        <v>175</v>
      </c>
      <c r="B47" s="14" t="s">
        <v>174</v>
      </c>
      <c r="C47" s="7">
        <f>C48+C49+C50</f>
        <v>5429087.1500000004</v>
      </c>
      <c r="D47" s="7">
        <f t="shared" ref="D47:E47" si="35">D48+D49+D50</f>
        <v>6291254.1500000004</v>
      </c>
      <c r="E47" s="7">
        <f t="shared" si="35"/>
        <v>73399.399999999994</v>
      </c>
      <c r="F47" s="7">
        <f t="shared" si="1"/>
        <v>6217854.75</v>
      </c>
      <c r="G47" s="7">
        <f t="shared" si="2"/>
        <v>1.35</v>
      </c>
      <c r="H47" s="7">
        <f t="shared" si="3"/>
        <v>1.17</v>
      </c>
      <c r="J47" s="103"/>
    </row>
    <row r="48" spans="1:10" s="8" customFormat="1" ht="46.95" customHeight="1" x14ac:dyDescent="0.3">
      <c r="A48" s="31" t="s">
        <v>177</v>
      </c>
      <c r="B48" s="5" t="s">
        <v>176</v>
      </c>
      <c r="C48" s="11">
        <f>1431000</f>
        <v>1431000</v>
      </c>
      <c r="D48" s="11">
        <f t="shared" ref="D48" si="36">1431000+862167</f>
        <v>2293167</v>
      </c>
      <c r="E48" s="11">
        <v>0</v>
      </c>
      <c r="F48" s="11">
        <f t="shared" si="1"/>
        <v>2293167</v>
      </c>
      <c r="G48" s="11">
        <f t="shared" si="2"/>
        <v>0</v>
      </c>
      <c r="H48" s="11">
        <f t="shared" si="3"/>
        <v>0</v>
      </c>
      <c r="J48" s="103"/>
    </row>
    <row r="49" spans="1:10" s="8" customFormat="1" ht="46.95" customHeight="1" x14ac:dyDescent="0.3">
      <c r="A49" s="24" t="s">
        <v>136</v>
      </c>
      <c r="B49" s="5" t="s">
        <v>20</v>
      </c>
      <c r="C49" s="21">
        <v>2898087.15</v>
      </c>
      <c r="D49" s="21">
        <v>2898087.15</v>
      </c>
      <c r="E49" s="21">
        <v>73399.399999999994</v>
      </c>
      <c r="F49" s="21">
        <f t="shared" si="1"/>
        <v>2824687.75</v>
      </c>
      <c r="G49" s="21">
        <f t="shared" si="2"/>
        <v>2.5299999999999998</v>
      </c>
      <c r="H49" s="21">
        <f t="shared" si="3"/>
        <v>2.5299999999999998</v>
      </c>
      <c r="J49" s="103"/>
    </row>
    <row r="50" spans="1:10" s="8" customFormat="1" ht="46.8" x14ac:dyDescent="0.3">
      <c r="A50" s="24" t="s">
        <v>363</v>
      </c>
      <c r="B50" s="5" t="s">
        <v>362</v>
      </c>
      <c r="C50" s="21">
        <v>1100000</v>
      </c>
      <c r="D50" s="21">
        <v>1100000</v>
      </c>
      <c r="E50" s="21">
        <v>0</v>
      </c>
      <c r="F50" s="21">
        <f t="shared" si="1"/>
        <v>1100000</v>
      </c>
      <c r="G50" s="21">
        <f t="shared" si="2"/>
        <v>0</v>
      </c>
      <c r="H50" s="21">
        <f t="shared" si="3"/>
        <v>0</v>
      </c>
      <c r="J50" s="103"/>
    </row>
    <row r="51" spans="1:10" s="8" customFormat="1" ht="31.2" customHeight="1" x14ac:dyDescent="0.3">
      <c r="A51" s="15" t="s">
        <v>178</v>
      </c>
      <c r="B51" s="16" t="s">
        <v>21</v>
      </c>
      <c r="C51" s="19">
        <f>C52+C54</f>
        <v>44094371</v>
      </c>
      <c r="D51" s="19">
        <f t="shared" ref="D51:E51" si="37">D52+D54</f>
        <v>45242166</v>
      </c>
      <c r="E51" s="19">
        <f t="shared" si="37"/>
        <v>8673280.3599999994</v>
      </c>
      <c r="F51" s="19">
        <f t="shared" si="1"/>
        <v>36568885.640000001</v>
      </c>
      <c r="G51" s="19">
        <f t="shared" si="2"/>
        <v>19.670000000000002</v>
      </c>
      <c r="H51" s="19">
        <f t="shared" si="3"/>
        <v>19.170000000000002</v>
      </c>
      <c r="J51" s="103"/>
    </row>
    <row r="52" spans="1:10" s="8" customFormat="1" ht="46.95" customHeight="1" x14ac:dyDescent="0.3">
      <c r="A52" s="29" t="s">
        <v>285</v>
      </c>
      <c r="B52" s="14" t="s">
        <v>179</v>
      </c>
      <c r="C52" s="7">
        <f>C53</f>
        <v>42573371</v>
      </c>
      <c r="D52" s="7">
        <f t="shared" ref="D52:E52" si="38">D53</f>
        <v>43721166</v>
      </c>
      <c r="E52" s="7">
        <f t="shared" si="38"/>
        <v>8542944.3599999994</v>
      </c>
      <c r="F52" s="7">
        <f t="shared" si="1"/>
        <v>35178221.640000001</v>
      </c>
      <c r="G52" s="7">
        <f t="shared" si="2"/>
        <v>20.07</v>
      </c>
      <c r="H52" s="7">
        <f t="shared" si="3"/>
        <v>19.54</v>
      </c>
      <c r="J52" s="103"/>
    </row>
    <row r="53" spans="1:10" s="8" customFormat="1" ht="31.2" customHeight="1" x14ac:dyDescent="0.3">
      <c r="A53" s="20" t="s">
        <v>40</v>
      </c>
      <c r="B53" s="5" t="s">
        <v>22</v>
      </c>
      <c r="C53" s="21">
        <f>42573371</f>
        <v>42573371</v>
      </c>
      <c r="D53" s="21">
        <f t="shared" ref="D53" si="39">42573371+1147795</f>
        <v>43721166</v>
      </c>
      <c r="E53" s="21">
        <v>8542944.3599999994</v>
      </c>
      <c r="F53" s="21">
        <f t="shared" si="1"/>
        <v>35178221.640000001</v>
      </c>
      <c r="G53" s="21">
        <f t="shared" si="2"/>
        <v>20.07</v>
      </c>
      <c r="H53" s="21">
        <f t="shared" si="3"/>
        <v>19.54</v>
      </c>
      <c r="J53" s="103"/>
    </row>
    <row r="54" spans="1:10" s="8" customFormat="1" ht="46.95" customHeight="1" x14ac:dyDescent="0.3">
      <c r="A54" s="29" t="s">
        <v>181</v>
      </c>
      <c r="B54" s="14" t="s">
        <v>180</v>
      </c>
      <c r="C54" s="7">
        <f>C55+C56+C57</f>
        <v>1521000</v>
      </c>
      <c r="D54" s="7">
        <f t="shared" ref="D54:E54" si="40">D55+D56+D57</f>
        <v>1521000</v>
      </c>
      <c r="E54" s="7">
        <f t="shared" si="40"/>
        <v>130336</v>
      </c>
      <c r="F54" s="7">
        <f t="shared" si="1"/>
        <v>1390664</v>
      </c>
      <c r="G54" s="7">
        <f t="shared" si="2"/>
        <v>8.57</v>
      </c>
      <c r="H54" s="7">
        <f t="shared" si="3"/>
        <v>8.57</v>
      </c>
      <c r="J54" s="103"/>
    </row>
    <row r="55" spans="1:10" s="8" customFormat="1" ht="46.95" customHeight="1" x14ac:dyDescent="0.3">
      <c r="A55" s="24" t="s">
        <v>315</v>
      </c>
      <c r="B55" s="26" t="s">
        <v>313</v>
      </c>
      <c r="C55" s="21">
        <v>660000</v>
      </c>
      <c r="D55" s="21">
        <v>660000</v>
      </c>
      <c r="E55" s="21">
        <v>68000</v>
      </c>
      <c r="F55" s="21">
        <f t="shared" si="1"/>
        <v>592000</v>
      </c>
      <c r="G55" s="21">
        <f t="shared" si="2"/>
        <v>10.3</v>
      </c>
      <c r="H55" s="21">
        <f t="shared" si="3"/>
        <v>10.3</v>
      </c>
      <c r="J55" s="103"/>
    </row>
    <row r="56" spans="1:10" s="8" customFormat="1" ht="15.6" customHeight="1" x14ac:dyDescent="0.3">
      <c r="A56" s="20" t="s">
        <v>80</v>
      </c>
      <c r="B56" s="5" t="s">
        <v>186</v>
      </c>
      <c r="C56" s="11">
        <v>96000</v>
      </c>
      <c r="D56" s="11">
        <v>96000</v>
      </c>
      <c r="E56" s="11">
        <v>12336</v>
      </c>
      <c r="F56" s="11">
        <f t="shared" si="1"/>
        <v>83664</v>
      </c>
      <c r="G56" s="11">
        <f t="shared" si="2"/>
        <v>12.85</v>
      </c>
      <c r="H56" s="11">
        <f t="shared" si="3"/>
        <v>12.85</v>
      </c>
      <c r="J56" s="103"/>
    </row>
    <row r="57" spans="1:10" s="8" customFormat="1" ht="31.2" customHeight="1" x14ac:dyDescent="0.3">
      <c r="A57" s="20" t="s">
        <v>262</v>
      </c>
      <c r="B57" s="5" t="s">
        <v>261</v>
      </c>
      <c r="C57" s="11">
        <v>765000</v>
      </c>
      <c r="D57" s="11">
        <v>765000</v>
      </c>
      <c r="E57" s="11">
        <v>50000</v>
      </c>
      <c r="F57" s="11">
        <f t="shared" si="1"/>
        <v>715000</v>
      </c>
      <c r="G57" s="11">
        <f t="shared" si="2"/>
        <v>6.54</v>
      </c>
      <c r="H57" s="11">
        <f t="shared" si="3"/>
        <v>6.54</v>
      </c>
      <c r="J57" s="103"/>
    </row>
    <row r="58" spans="1:10" s="8" customFormat="1" ht="15.6" customHeight="1" x14ac:dyDescent="0.3">
      <c r="A58" s="28" t="s">
        <v>489</v>
      </c>
      <c r="B58" s="14" t="s">
        <v>66</v>
      </c>
      <c r="C58" s="7">
        <f>C59+C61+C63</f>
        <v>4621956.8</v>
      </c>
      <c r="D58" s="7">
        <f t="shared" ref="D58:E58" si="41">D59+D61+D63</f>
        <v>34317359.960000001</v>
      </c>
      <c r="E58" s="7">
        <f t="shared" si="41"/>
        <v>7813832.6600000001</v>
      </c>
      <c r="F58" s="7">
        <f t="shared" si="1"/>
        <v>26503527.300000001</v>
      </c>
      <c r="G58" s="7">
        <f t="shared" si="2"/>
        <v>169.06</v>
      </c>
      <c r="H58" s="7">
        <f t="shared" si="3"/>
        <v>22.77</v>
      </c>
      <c r="J58" s="103"/>
    </row>
    <row r="59" spans="1:10" s="8" customFormat="1" ht="46.95" customHeight="1" x14ac:dyDescent="0.3">
      <c r="A59" s="32" t="s">
        <v>172</v>
      </c>
      <c r="B59" s="33" t="s">
        <v>276</v>
      </c>
      <c r="C59" s="19">
        <f>C60</f>
        <v>2141956.7999999998</v>
      </c>
      <c r="D59" s="19">
        <f t="shared" ref="D59:E59" si="42">D60</f>
        <v>0</v>
      </c>
      <c r="E59" s="19">
        <f t="shared" si="42"/>
        <v>0</v>
      </c>
      <c r="F59" s="19">
        <f t="shared" si="1"/>
        <v>0</v>
      </c>
      <c r="G59" s="19">
        <f t="shared" si="2"/>
        <v>0</v>
      </c>
      <c r="H59" s="19" t="s">
        <v>540</v>
      </c>
      <c r="J59" s="103"/>
    </row>
    <row r="60" spans="1:10" s="8" customFormat="1" ht="62.4" customHeight="1" x14ac:dyDescent="0.3">
      <c r="A60" s="34" t="s">
        <v>146</v>
      </c>
      <c r="B60" s="35" t="s">
        <v>277</v>
      </c>
      <c r="C60" s="21">
        <v>2141956.7999999998</v>
      </c>
      <c r="D60" s="21">
        <f t="shared" ref="D60:E60" si="43">2597240.1-60097.62-395185.68-2141956.8</f>
        <v>0</v>
      </c>
      <c r="E60" s="21">
        <f t="shared" si="43"/>
        <v>0</v>
      </c>
      <c r="F60" s="21">
        <f t="shared" si="1"/>
        <v>0</v>
      </c>
      <c r="G60" s="21">
        <f t="shared" si="2"/>
        <v>0</v>
      </c>
      <c r="H60" s="21" t="s">
        <v>540</v>
      </c>
      <c r="J60" s="103"/>
    </row>
    <row r="61" spans="1:10" s="8" customFormat="1" ht="15.6" customHeight="1" x14ac:dyDescent="0.3">
      <c r="A61" s="28" t="s">
        <v>145</v>
      </c>
      <c r="B61" s="14" t="s">
        <v>75</v>
      </c>
      <c r="C61" s="7">
        <f>C62</f>
        <v>2480000</v>
      </c>
      <c r="D61" s="7">
        <f t="shared" ref="D61:E61" si="44">D62</f>
        <v>0</v>
      </c>
      <c r="E61" s="7">
        <f t="shared" si="44"/>
        <v>0</v>
      </c>
      <c r="F61" s="7">
        <f t="shared" si="1"/>
        <v>0</v>
      </c>
      <c r="G61" s="7">
        <f t="shared" si="2"/>
        <v>0</v>
      </c>
      <c r="H61" s="7" t="s">
        <v>540</v>
      </c>
      <c r="J61" s="103"/>
    </row>
    <row r="62" spans="1:10" s="8" customFormat="1" ht="93.6" customHeight="1" x14ac:dyDescent="0.3">
      <c r="A62" s="24" t="s">
        <v>73</v>
      </c>
      <c r="B62" s="22" t="s">
        <v>108</v>
      </c>
      <c r="C62" s="11">
        <f>2480000</f>
        <v>2480000</v>
      </c>
      <c r="D62" s="11">
        <f t="shared" ref="D62:E62" si="45">2480000-2480000</f>
        <v>0</v>
      </c>
      <c r="E62" s="11">
        <f t="shared" si="45"/>
        <v>0</v>
      </c>
      <c r="F62" s="11">
        <f t="shared" si="1"/>
        <v>0</v>
      </c>
      <c r="G62" s="11">
        <f t="shared" si="2"/>
        <v>0</v>
      </c>
      <c r="H62" s="11" t="s">
        <v>540</v>
      </c>
      <c r="J62" s="103"/>
    </row>
    <row r="63" spans="1:10" s="8" customFormat="1" ht="29.4" customHeight="1" x14ac:dyDescent="0.3">
      <c r="A63" s="32" t="s">
        <v>491</v>
      </c>
      <c r="B63" s="33" t="s">
        <v>490</v>
      </c>
      <c r="C63" s="19">
        <f>C64+C65+C66+C67</f>
        <v>0</v>
      </c>
      <c r="D63" s="19">
        <f t="shared" ref="D63:E63" si="46">D64+D65+D66+D67</f>
        <v>34317359.960000001</v>
      </c>
      <c r="E63" s="19">
        <f t="shared" si="46"/>
        <v>7813832.6600000001</v>
      </c>
      <c r="F63" s="19">
        <f t="shared" si="1"/>
        <v>26503527.300000001</v>
      </c>
      <c r="G63" s="19" t="s">
        <v>540</v>
      </c>
      <c r="H63" s="19">
        <f t="shared" si="3"/>
        <v>22.77</v>
      </c>
      <c r="J63" s="103"/>
    </row>
    <row r="64" spans="1:10" s="8" customFormat="1" ht="133.94999999999999" customHeight="1" x14ac:dyDescent="0.3">
      <c r="A64" s="34" t="s">
        <v>496</v>
      </c>
      <c r="B64" s="35" t="s">
        <v>495</v>
      </c>
      <c r="C64" s="21">
        <v>0</v>
      </c>
      <c r="D64" s="21">
        <f t="shared" ref="D64" si="47">0+1054620</f>
        <v>1054620</v>
      </c>
      <c r="E64" s="21">
        <v>246670</v>
      </c>
      <c r="F64" s="21">
        <f t="shared" si="1"/>
        <v>807950</v>
      </c>
      <c r="G64" s="21" t="s">
        <v>540</v>
      </c>
      <c r="H64" s="21">
        <f t="shared" si="3"/>
        <v>23.39</v>
      </c>
      <c r="J64" s="103"/>
    </row>
    <row r="65" spans="1:10" s="8" customFormat="1" ht="62.4" customHeight="1" x14ac:dyDescent="0.3">
      <c r="A65" s="34" t="s">
        <v>146</v>
      </c>
      <c r="B65" s="35" t="s">
        <v>492</v>
      </c>
      <c r="C65" s="21">
        <v>0</v>
      </c>
      <c r="D65" s="21">
        <f t="shared" ref="D65" si="48">2141956.8+92783.16</f>
        <v>2234739.96</v>
      </c>
      <c r="E65" s="21">
        <v>552132.66</v>
      </c>
      <c r="F65" s="21">
        <f t="shared" si="1"/>
        <v>1682607.3</v>
      </c>
      <c r="G65" s="21" t="s">
        <v>540</v>
      </c>
      <c r="H65" s="21">
        <f t="shared" si="3"/>
        <v>24.71</v>
      </c>
      <c r="J65" s="103"/>
    </row>
    <row r="66" spans="1:10" s="8" customFormat="1" ht="106.95" customHeight="1" x14ac:dyDescent="0.3">
      <c r="A66" s="24" t="s">
        <v>147</v>
      </c>
      <c r="B66" s="5" t="s">
        <v>494</v>
      </c>
      <c r="C66" s="11">
        <v>0</v>
      </c>
      <c r="D66" s="11">
        <f t="shared" ref="D66" si="49">22464000+6084000</f>
        <v>28548000</v>
      </c>
      <c r="E66" s="11">
        <v>6855030</v>
      </c>
      <c r="F66" s="11">
        <f t="shared" si="1"/>
        <v>21692970</v>
      </c>
      <c r="G66" s="11" t="s">
        <v>540</v>
      </c>
      <c r="H66" s="11">
        <f t="shared" si="3"/>
        <v>24.01</v>
      </c>
      <c r="J66" s="103"/>
    </row>
    <row r="67" spans="1:10" s="8" customFormat="1" ht="93.6" customHeight="1" x14ac:dyDescent="0.3">
      <c r="A67" s="24" t="s">
        <v>73</v>
      </c>
      <c r="B67" s="22" t="s">
        <v>493</v>
      </c>
      <c r="C67" s="11">
        <v>0</v>
      </c>
      <c r="D67" s="11">
        <f t="shared" ref="D67" si="50">0+2480000</f>
        <v>2480000</v>
      </c>
      <c r="E67" s="11">
        <v>160000</v>
      </c>
      <c r="F67" s="11">
        <f t="shared" si="1"/>
        <v>2320000</v>
      </c>
      <c r="G67" s="11" t="s">
        <v>540</v>
      </c>
      <c r="H67" s="11">
        <f t="shared" si="3"/>
        <v>6.45</v>
      </c>
      <c r="J67" s="103"/>
    </row>
    <row r="68" spans="1:10" s="8" customFormat="1" ht="46.95" customHeight="1" x14ac:dyDescent="0.3">
      <c r="A68" s="36" t="s">
        <v>182</v>
      </c>
      <c r="B68" s="37" t="s">
        <v>5</v>
      </c>
      <c r="C68" s="7">
        <f>C69+C74+C80</f>
        <v>21738857.530000001</v>
      </c>
      <c r="D68" s="7">
        <f t="shared" ref="D68:E68" si="51">D69+D74+D80</f>
        <v>21792466.960000001</v>
      </c>
      <c r="E68" s="7">
        <f t="shared" si="51"/>
        <v>3943325.51</v>
      </c>
      <c r="F68" s="7">
        <f t="shared" si="1"/>
        <v>17849141.449999999</v>
      </c>
      <c r="G68" s="7">
        <f t="shared" si="2"/>
        <v>18.14</v>
      </c>
      <c r="H68" s="7">
        <f t="shared" si="3"/>
        <v>18.09</v>
      </c>
      <c r="J68" s="103"/>
    </row>
    <row r="69" spans="1:10" s="8" customFormat="1" ht="15.6" customHeight="1" x14ac:dyDescent="0.3">
      <c r="A69" s="32" t="s">
        <v>23</v>
      </c>
      <c r="B69" s="16" t="s">
        <v>183</v>
      </c>
      <c r="C69" s="19">
        <f>C70+C72</f>
        <v>17015857.530000001</v>
      </c>
      <c r="D69" s="19">
        <f t="shared" ref="D69:E69" si="52">D70+D72</f>
        <v>17069466.960000001</v>
      </c>
      <c r="E69" s="19">
        <f t="shared" si="52"/>
        <v>2839250.54</v>
      </c>
      <c r="F69" s="19">
        <f t="shared" si="1"/>
        <v>14230216.42</v>
      </c>
      <c r="G69" s="19">
        <f t="shared" si="2"/>
        <v>16.690000000000001</v>
      </c>
      <c r="H69" s="19">
        <f t="shared" si="3"/>
        <v>16.63</v>
      </c>
      <c r="J69" s="103"/>
    </row>
    <row r="70" spans="1:10" s="8" customFormat="1" ht="46.95" customHeight="1" x14ac:dyDescent="0.3">
      <c r="A70" s="15" t="s">
        <v>223</v>
      </c>
      <c r="B70" s="16" t="s">
        <v>184</v>
      </c>
      <c r="C70" s="7">
        <f>C71</f>
        <v>12186714.529999999</v>
      </c>
      <c r="D70" s="7">
        <f t="shared" ref="D70:E70" si="53">D71</f>
        <v>12216881.960000001</v>
      </c>
      <c r="E70" s="7">
        <f t="shared" si="53"/>
        <v>2064955.48</v>
      </c>
      <c r="F70" s="7">
        <f t="shared" si="1"/>
        <v>10151926.48</v>
      </c>
      <c r="G70" s="7">
        <f t="shared" si="2"/>
        <v>16.940000000000001</v>
      </c>
      <c r="H70" s="7">
        <f t="shared" si="3"/>
        <v>16.899999999999999</v>
      </c>
      <c r="J70" s="103"/>
    </row>
    <row r="71" spans="1:10" s="8" customFormat="1" ht="78" customHeight="1" x14ac:dyDescent="0.3">
      <c r="A71" s="24" t="s">
        <v>102</v>
      </c>
      <c r="B71" s="22" t="s">
        <v>290</v>
      </c>
      <c r="C71" s="11">
        <f>12186714.53</f>
        <v>12186714.529999999</v>
      </c>
      <c r="D71" s="11">
        <f t="shared" ref="D71" si="54">12186714.53+30167.43</f>
        <v>12216881.960000001</v>
      </c>
      <c r="E71" s="11">
        <v>2064955.48</v>
      </c>
      <c r="F71" s="11">
        <f t="shared" si="1"/>
        <v>10151926.48</v>
      </c>
      <c r="G71" s="11">
        <f t="shared" si="2"/>
        <v>16.940000000000001</v>
      </c>
      <c r="H71" s="11">
        <f t="shared" si="3"/>
        <v>16.899999999999999</v>
      </c>
      <c r="J71" s="103"/>
    </row>
    <row r="72" spans="1:10" s="8" customFormat="1" ht="31.2" customHeight="1" x14ac:dyDescent="0.3">
      <c r="A72" s="15" t="s">
        <v>185</v>
      </c>
      <c r="B72" s="16" t="s">
        <v>224</v>
      </c>
      <c r="C72" s="19">
        <f>C73</f>
        <v>4829143</v>
      </c>
      <c r="D72" s="19">
        <f t="shared" ref="D72:E72" si="55">D73</f>
        <v>4852585</v>
      </c>
      <c r="E72" s="19">
        <f t="shared" si="55"/>
        <v>774295.06</v>
      </c>
      <c r="F72" s="19">
        <f t="shared" si="1"/>
        <v>4078289.94</v>
      </c>
      <c r="G72" s="19">
        <f t="shared" si="2"/>
        <v>16.03</v>
      </c>
      <c r="H72" s="19">
        <f t="shared" si="3"/>
        <v>15.96</v>
      </c>
      <c r="J72" s="103"/>
    </row>
    <row r="73" spans="1:10" s="12" customFormat="1" ht="78" customHeight="1" x14ac:dyDescent="0.3">
      <c r="A73" s="20" t="s">
        <v>24</v>
      </c>
      <c r="B73" s="5" t="s">
        <v>225</v>
      </c>
      <c r="C73" s="21">
        <f>4829143</f>
        <v>4829143</v>
      </c>
      <c r="D73" s="21">
        <f t="shared" ref="D73" si="56">4829143+23442</f>
        <v>4852585</v>
      </c>
      <c r="E73" s="21">
        <v>774295.06</v>
      </c>
      <c r="F73" s="21">
        <f t="shared" ref="F73:F136" si="57">$D73-$E73</f>
        <v>4078289.94</v>
      </c>
      <c r="G73" s="21">
        <f t="shared" ref="G73:G135" si="58">$E73/$C73*100</f>
        <v>16.03</v>
      </c>
      <c r="H73" s="21">
        <f t="shared" ref="H73:H136" si="59">$E73/$D73*100</f>
        <v>15.96</v>
      </c>
      <c r="J73" s="103"/>
    </row>
    <row r="74" spans="1:10" s="8" customFormat="1" ht="15.6" customHeight="1" x14ac:dyDescent="0.3">
      <c r="A74" s="32" t="s">
        <v>7</v>
      </c>
      <c r="B74" s="16" t="s">
        <v>228</v>
      </c>
      <c r="C74" s="7">
        <f>C75+C78</f>
        <v>1000000</v>
      </c>
      <c r="D74" s="7">
        <f t="shared" ref="D74:E74" si="60">D75+D78</f>
        <v>1000000</v>
      </c>
      <c r="E74" s="7">
        <f t="shared" si="60"/>
        <v>0</v>
      </c>
      <c r="F74" s="7">
        <f t="shared" si="57"/>
        <v>1000000</v>
      </c>
      <c r="G74" s="7">
        <f t="shared" si="58"/>
        <v>0</v>
      </c>
      <c r="H74" s="7">
        <f t="shared" si="59"/>
        <v>0</v>
      </c>
      <c r="J74" s="103"/>
    </row>
    <row r="75" spans="1:10" s="8" customFormat="1" ht="78" customHeight="1" x14ac:dyDescent="0.3">
      <c r="A75" s="23" t="s">
        <v>229</v>
      </c>
      <c r="B75" s="38" t="s">
        <v>292</v>
      </c>
      <c r="C75" s="7">
        <f>C76+C77</f>
        <v>950000</v>
      </c>
      <c r="D75" s="7">
        <f t="shared" ref="D75:E75" si="61">D76+D77</f>
        <v>950000</v>
      </c>
      <c r="E75" s="7">
        <f t="shared" si="61"/>
        <v>0</v>
      </c>
      <c r="F75" s="7">
        <f t="shared" si="57"/>
        <v>950000</v>
      </c>
      <c r="G75" s="7">
        <f t="shared" si="58"/>
        <v>0</v>
      </c>
      <c r="H75" s="7">
        <f t="shared" si="59"/>
        <v>0</v>
      </c>
      <c r="J75" s="103"/>
    </row>
    <row r="76" spans="1:10" s="12" customFormat="1" ht="46.95" customHeight="1" outlineLevel="5" x14ac:dyDescent="0.3">
      <c r="A76" s="39" t="s">
        <v>291</v>
      </c>
      <c r="B76" s="40" t="s">
        <v>293</v>
      </c>
      <c r="C76" s="11">
        <v>450000</v>
      </c>
      <c r="D76" s="11">
        <v>450000</v>
      </c>
      <c r="E76" s="11">
        <v>0</v>
      </c>
      <c r="F76" s="11">
        <f t="shared" si="57"/>
        <v>450000</v>
      </c>
      <c r="G76" s="11">
        <f t="shared" si="58"/>
        <v>0</v>
      </c>
      <c r="H76" s="11">
        <f t="shared" si="59"/>
        <v>0</v>
      </c>
      <c r="J76" s="103"/>
    </row>
    <row r="77" spans="1:10" s="8" customFormat="1" ht="31.2" customHeight="1" x14ac:dyDescent="0.3">
      <c r="A77" s="41" t="s">
        <v>294</v>
      </c>
      <c r="B77" s="26" t="s">
        <v>289</v>
      </c>
      <c r="C77" s="11">
        <v>500000</v>
      </c>
      <c r="D77" s="11">
        <v>500000</v>
      </c>
      <c r="E77" s="11">
        <v>0</v>
      </c>
      <c r="F77" s="11">
        <f t="shared" si="57"/>
        <v>500000</v>
      </c>
      <c r="G77" s="11">
        <f t="shared" si="58"/>
        <v>0</v>
      </c>
      <c r="H77" s="11">
        <f t="shared" si="59"/>
        <v>0</v>
      </c>
      <c r="J77" s="103"/>
    </row>
    <row r="78" spans="1:10" s="8" customFormat="1" ht="46.95" customHeight="1" x14ac:dyDescent="0.3">
      <c r="A78" s="23" t="s">
        <v>329</v>
      </c>
      <c r="B78" s="38" t="s">
        <v>326</v>
      </c>
      <c r="C78" s="7">
        <f>C79</f>
        <v>50000</v>
      </c>
      <c r="D78" s="7">
        <f t="shared" ref="D78:E78" si="62">D79</f>
        <v>50000</v>
      </c>
      <c r="E78" s="7">
        <f t="shared" si="62"/>
        <v>0</v>
      </c>
      <c r="F78" s="7">
        <f t="shared" si="57"/>
        <v>50000</v>
      </c>
      <c r="G78" s="7">
        <f t="shared" si="58"/>
        <v>0</v>
      </c>
      <c r="H78" s="7">
        <f t="shared" si="59"/>
        <v>0</v>
      </c>
      <c r="J78" s="103"/>
    </row>
    <row r="79" spans="1:10" s="12" customFormat="1" ht="31.2" customHeight="1" outlineLevel="5" x14ac:dyDescent="0.3">
      <c r="A79" s="39" t="s">
        <v>328</v>
      </c>
      <c r="B79" s="40" t="s">
        <v>327</v>
      </c>
      <c r="C79" s="11">
        <v>50000</v>
      </c>
      <c r="D79" s="11">
        <v>50000</v>
      </c>
      <c r="E79" s="11">
        <v>0</v>
      </c>
      <c r="F79" s="11">
        <f t="shared" si="57"/>
        <v>50000</v>
      </c>
      <c r="G79" s="11">
        <f t="shared" si="58"/>
        <v>0</v>
      </c>
      <c r="H79" s="11">
        <f t="shared" si="59"/>
        <v>0</v>
      </c>
      <c r="J79" s="103"/>
    </row>
    <row r="80" spans="1:10" s="8" customFormat="1" ht="31.2" customHeight="1" outlineLevel="5" x14ac:dyDescent="0.3">
      <c r="A80" s="42" t="s">
        <v>219</v>
      </c>
      <c r="B80" s="37" t="s">
        <v>218</v>
      </c>
      <c r="C80" s="7">
        <f>C81</f>
        <v>3723000</v>
      </c>
      <c r="D80" s="7">
        <f t="shared" ref="D80:E81" si="63">D81</f>
        <v>3723000</v>
      </c>
      <c r="E80" s="7">
        <f t="shared" si="63"/>
        <v>1104074.97</v>
      </c>
      <c r="F80" s="7">
        <f t="shared" si="57"/>
        <v>2618925.0299999998</v>
      </c>
      <c r="G80" s="7">
        <f t="shared" si="58"/>
        <v>29.66</v>
      </c>
      <c r="H80" s="7">
        <f t="shared" si="59"/>
        <v>29.66</v>
      </c>
      <c r="J80" s="103"/>
    </row>
    <row r="81" spans="1:10" s="8" customFormat="1" ht="31.2" customHeight="1" outlineLevel="5" x14ac:dyDescent="0.3">
      <c r="A81" s="15" t="s">
        <v>222</v>
      </c>
      <c r="B81" s="16" t="s">
        <v>221</v>
      </c>
      <c r="C81" s="7">
        <f>C82</f>
        <v>3723000</v>
      </c>
      <c r="D81" s="7">
        <f t="shared" si="63"/>
        <v>3723000</v>
      </c>
      <c r="E81" s="7">
        <f t="shared" si="63"/>
        <v>1104074.97</v>
      </c>
      <c r="F81" s="7">
        <f t="shared" si="57"/>
        <v>2618925.0299999998</v>
      </c>
      <c r="G81" s="7">
        <f t="shared" si="58"/>
        <v>29.66</v>
      </c>
      <c r="H81" s="7">
        <f t="shared" si="59"/>
        <v>29.66</v>
      </c>
      <c r="J81" s="103"/>
    </row>
    <row r="82" spans="1:10" s="12" customFormat="1" ht="15.6" customHeight="1" x14ac:dyDescent="0.3">
      <c r="A82" s="43" t="s">
        <v>37</v>
      </c>
      <c r="B82" s="5" t="s">
        <v>220</v>
      </c>
      <c r="C82" s="11">
        <v>3723000</v>
      </c>
      <c r="D82" s="11">
        <v>3723000</v>
      </c>
      <c r="E82" s="11">
        <v>1104074.97</v>
      </c>
      <c r="F82" s="11">
        <f t="shared" si="57"/>
        <v>2618925.0299999998</v>
      </c>
      <c r="G82" s="11">
        <f t="shared" si="58"/>
        <v>29.66</v>
      </c>
      <c r="H82" s="11">
        <f t="shared" si="59"/>
        <v>29.66</v>
      </c>
      <c r="J82" s="103"/>
    </row>
    <row r="83" spans="1:10" s="8" customFormat="1" ht="46.95" customHeight="1" x14ac:dyDescent="0.3">
      <c r="A83" s="36" t="s">
        <v>187</v>
      </c>
      <c r="B83" s="37" t="s">
        <v>10</v>
      </c>
      <c r="C83" s="19">
        <f>C84+C88+C92+C108</f>
        <v>116352491.58</v>
      </c>
      <c r="D83" s="19">
        <f t="shared" ref="D83:E83" si="64">D84+D88+D92+D108</f>
        <v>136891161.55000001</v>
      </c>
      <c r="E83" s="19">
        <f t="shared" si="64"/>
        <v>16368370.130000001</v>
      </c>
      <c r="F83" s="19">
        <f t="shared" si="57"/>
        <v>120522791.42</v>
      </c>
      <c r="G83" s="19">
        <f t="shared" si="58"/>
        <v>14.07</v>
      </c>
      <c r="H83" s="19">
        <f t="shared" si="59"/>
        <v>11.96</v>
      </c>
      <c r="J83" s="103"/>
    </row>
    <row r="84" spans="1:10" s="8" customFormat="1" ht="46.95" customHeight="1" x14ac:dyDescent="0.3">
      <c r="A84" s="32" t="s">
        <v>295</v>
      </c>
      <c r="B84" s="16" t="s">
        <v>11</v>
      </c>
      <c r="C84" s="19">
        <f>C85</f>
        <v>65899450</v>
      </c>
      <c r="D84" s="19">
        <f t="shared" ref="D84:E84" si="65">D85</f>
        <v>68623889.5</v>
      </c>
      <c r="E84" s="19">
        <f t="shared" si="65"/>
        <v>11051761.939999999</v>
      </c>
      <c r="F84" s="19">
        <f t="shared" si="57"/>
        <v>57572127.560000002</v>
      </c>
      <c r="G84" s="19">
        <f t="shared" si="58"/>
        <v>16.77</v>
      </c>
      <c r="H84" s="19">
        <f t="shared" si="59"/>
        <v>16.100000000000001</v>
      </c>
      <c r="J84" s="103"/>
    </row>
    <row r="85" spans="1:10" s="8" customFormat="1" ht="62.4" customHeight="1" outlineLevel="5" x14ac:dyDescent="0.3">
      <c r="A85" s="29" t="s">
        <v>528</v>
      </c>
      <c r="B85" s="16" t="s">
        <v>188</v>
      </c>
      <c r="C85" s="19">
        <f>C86+C87</f>
        <v>65899450</v>
      </c>
      <c r="D85" s="19">
        <f t="shared" ref="D85:E85" si="66">D86+D87</f>
        <v>68623889.5</v>
      </c>
      <c r="E85" s="19">
        <f t="shared" si="66"/>
        <v>11051761.939999999</v>
      </c>
      <c r="F85" s="19">
        <f t="shared" si="57"/>
        <v>57572127.560000002</v>
      </c>
      <c r="G85" s="19">
        <f t="shared" si="58"/>
        <v>16.77</v>
      </c>
      <c r="H85" s="19">
        <f t="shared" si="59"/>
        <v>16.100000000000001</v>
      </c>
      <c r="J85" s="103"/>
    </row>
    <row r="86" spans="1:10" s="12" customFormat="1" ht="31.2" customHeight="1" outlineLevel="5" x14ac:dyDescent="0.3">
      <c r="A86" s="20" t="s">
        <v>40</v>
      </c>
      <c r="B86" s="5" t="s">
        <v>12</v>
      </c>
      <c r="C86" s="21">
        <f>65675850</f>
        <v>65675850</v>
      </c>
      <c r="D86" s="21">
        <f t="shared" ref="D86" si="67">65675850+2724439.5</f>
        <v>68400289.5</v>
      </c>
      <c r="E86" s="21">
        <v>11051761.939999999</v>
      </c>
      <c r="F86" s="21">
        <f t="shared" si="57"/>
        <v>57348527.560000002</v>
      </c>
      <c r="G86" s="21">
        <f t="shared" si="58"/>
        <v>16.829999999999998</v>
      </c>
      <c r="H86" s="21">
        <f t="shared" si="59"/>
        <v>16.16</v>
      </c>
      <c r="J86" s="103"/>
    </row>
    <row r="87" spans="1:10" s="12" customFormat="1" ht="31.2" customHeight="1" x14ac:dyDescent="0.3">
      <c r="A87" s="20" t="s">
        <v>43</v>
      </c>
      <c r="B87" s="44" t="s">
        <v>13</v>
      </c>
      <c r="C87" s="11">
        <v>223600</v>
      </c>
      <c r="D87" s="11">
        <v>223600</v>
      </c>
      <c r="E87" s="11">
        <v>0</v>
      </c>
      <c r="F87" s="11">
        <f t="shared" si="57"/>
        <v>223600</v>
      </c>
      <c r="G87" s="11">
        <f t="shared" si="58"/>
        <v>0</v>
      </c>
      <c r="H87" s="11">
        <f t="shared" si="59"/>
        <v>0</v>
      </c>
      <c r="J87" s="103"/>
    </row>
    <row r="88" spans="1:10" s="8" customFormat="1" ht="78" customHeight="1" x14ac:dyDescent="0.3">
      <c r="A88" s="15" t="s">
        <v>284</v>
      </c>
      <c r="B88" s="16" t="s">
        <v>14</v>
      </c>
      <c r="C88" s="46">
        <f>C89</f>
        <v>15796960</v>
      </c>
      <c r="D88" s="46">
        <f t="shared" ref="D88:E88" si="68">D89</f>
        <v>15921960</v>
      </c>
      <c r="E88" s="46">
        <f t="shared" si="68"/>
        <v>2360202.65</v>
      </c>
      <c r="F88" s="46">
        <f t="shared" si="57"/>
        <v>13561757.35</v>
      </c>
      <c r="G88" s="46">
        <f t="shared" si="58"/>
        <v>14.94</v>
      </c>
      <c r="H88" s="46">
        <f t="shared" si="59"/>
        <v>14.82</v>
      </c>
      <c r="J88" s="103"/>
    </row>
    <row r="89" spans="1:10" s="8" customFormat="1" ht="62.4" customHeight="1" x14ac:dyDescent="0.3">
      <c r="A89" s="29" t="s">
        <v>296</v>
      </c>
      <c r="B89" s="16" t="s">
        <v>189</v>
      </c>
      <c r="C89" s="19">
        <f>C90+C91</f>
        <v>15796960</v>
      </c>
      <c r="D89" s="19">
        <f t="shared" ref="D89:E89" si="69">D90+D91</f>
        <v>15921960</v>
      </c>
      <c r="E89" s="19">
        <f t="shared" si="69"/>
        <v>2360202.65</v>
      </c>
      <c r="F89" s="19">
        <f t="shared" si="57"/>
        <v>13561757.35</v>
      </c>
      <c r="G89" s="19">
        <f t="shared" si="58"/>
        <v>14.94</v>
      </c>
      <c r="H89" s="19">
        <f t="shared" si="59"/>
        <v>14.82</v>
      </c>
      <c r="J89" s="103"/>
    </row>
    <row r="90" spans="1:10" s="12" customFormat="1" ht="31.2" customHeight="1" x14ac:dyDescent="0.3">
      <c r="A90" s="20" t="s">
        <v>40</v>
      </c>
      <c r="B90" s="47" t="s">
        <v>15</v>
      </c>
      <c r="C90" s="21">
        <f>15718460</f>
        <v>15718460</v>
      </c>
      <c r="D90" s="21">
        <f t="shared" ref="D90" si="70">15718460+125000</f>
        <v>15843460</v>
      </c>
      <c r="E90" s="21">
        <v>2360202.65</v>
      </c>
      <c r="F90" s="21">
        <f t="shared" si="57"/>
        <v>13483257.35</v>
      </c>
      <c r="G90" s="21">
        <f t="shared" si="58"/>
        <v>15.02</v>
      </c>
      <c r="H90" s="21">
        <f t="shared" si="59"/>
        <v>14.9</v>
      </c>
      <c r="J90" s="103"/>
    </row>
    <row r="91" spans="1:10" s="8" customFormat="1" ht="31.2" customHeight="1" x14ac:dyDescent="0.3">
      <c r="A91" s="20" t="s">
        <v>43</v>
      </c>
      <c r="B91" s="5" t="s">
        <v>16</v>
      </c>
      <c r="C91" s="11">
        <v>78500</v>
      </c>
      <c r="D91" s="11">
        <v>78500</v>
      </c>
      <c r="E91" s="11">
        <v>0</v>
      </c>
      <c r="F91" s="11">
        <f t="shared" si="57"/>
        <v>78500</v>
      </c>
      <c r="G91" s="11">
        <f t="shared" si="58"/>
        <v>0</v>
      </c>
      <c r="H91" s="11">
        <f t="shared" si="59"/>
        <v>0</v>
      </c>
      <c r="J91" s="103"/>
    </row>
    <row r="92" spans="1:10" s="8" customFormat="1" ht="31.2" customHeight="1" x14ac:dyDescent="0.3">
      <c r="A92" s="48" t="s">
        <v>191</v>
      </c>
      <c r="B92" s="16" t="s">
        <v>65</v>
      </c>
      <c r="C92" s="19">
        <f>C93+C105</f>
        <v>20883061.579999998</v>
      </c>
      <c r="D92" s="19">
        <f t="shared" ref="D92:E92" si="71">D93+D105</f>
        <v>38572292.049999997</v>
      </c>
      <c r="E92" s="19">
        <f t="shared" si="71"/>
        <v>0</v>
      </c>
      <c r="F92" s="19">
        <f t="shared" si="57"/>
        <v>38572292.049999997</v>
      </c>
      <c r="G92" s="19">
        <f t="shared" si="58"/>
        <v>0</v>
      </c>
      <c r="H92" s="19">
        <f t="shared" si="59"/>
        <v>0</v>
      </c>
      <c r="J92" s="103"/>
    </row>
    <row r="93" spans="1:10" s="8" customFormat="1" ht="46.95" customHeight="1" x14ac:dyDescent="0.3">
      <c r="A93" s="48" t="s">
        <v>192</v>
      </c>
      <c r="B93" s="16" t="s">
        <v>190</v>
      </c>
      <c r="C93" s="19">
        <f>C95+C96+C97+C98+C99+C100+C101+C102+C103+C104+C94</f>
        <v>20883061.579999998</v>
      </c>
      <c r="D93" s="19">
        <f t="shared" ref="D93:E93" si="72">D95+D96+D97+D98+D99+D100+D101+D102+D103+D104+D94</f>
        <v>38572292.049999997</v>
      </c>
      <c r="E93" s="19">
        <f t="shared" si="72"/>
        <v>0</v>
      </c>
      <c r="F93" s="19">
        <f t="shared" si="57"/>
        <v>38572292.049999997</v>
      </c>
      <c r="G93" s="19">
        <f t="shared" si="58"/>
        <v>0</v>
      </c>
      <c r="H93" s="19">
        <f t="shared" si="59"/>
        <v>0</v>
      </c>
      <c r="J93" s="103"/>
    </row>
    <row r="94" spans="1:10" s="12" customFormat="1" ht="36" customHeight="1" x14ac:dyDescent="0.3">
      <c r="A94" s="49" t="s">
        <v>501</v>
      </c>
      <c r="B94" s="26" t="s">
        <v>502</v>
      </c>
      <c r="C94" s="11">
        <v>0</v>
      </c>
      <c r="D94" s="11">
        <f t="shared" ref="D94" si="73">0+17691213.6</f>
        <v>17691213.600000001</v>
      </c>
      <c r="E94" s="11">
        <v>0</v>
      </c>
      <c r="F94" s="11">
        <f t="shared" si="57"/>
        <v>17691213.600000001</v>
      </c>
      <c r="G94" s="11" t="s">
        <v>540</v>
      </c>
      <c r="H94" s="11">
        <f t="shared" si="59"/>
        <v>0</v>
      </c>
      <c r="J94" s="103"/>
    </row>
    <row r="95" spans="1:10" s="12" customFormat="1" ht="62.4" customHeight="1" x14ac:dyDescent="0.3">
      <c r="A95" s="49" t="s">
        <v>114</v>
      </c>
      <c r="B95" s="26" t="s">
        <v>71</v>
      </c>
      <c r="C95" s="11">
        <f>999589.32</f>
        <v>999589.32</v>
      </c>
      <c r="D95" s="11">
        <f t="shared" ref="D95" si="74">999589.32-12043.25</f>
        <v>987546.07</v>
      </c>
      <c r="E95" s="11">
        <v>0</v>
      </c>
      <c r="F95" s="11">
        <f t="shared" si="57"/>
        <v>987546.07</v>
      </c>
      <c r="G95" s="11">
        <f t="shared" si="58"/>
        <v>0</v>
      </c>
      <c r="H95" s="11">
        <f t="shared" si="59"/>
        <v>0</v>
      </c>
      <c r="J95" s="103"/>
    </row>
    <row r="96" spans="1:10" s="12" customFormat="1" ht="62.4" customHeight="1" x14ac:dyDescent="0.3">
      <c r="A96" s="41" t="s">
        <v>70</v>
      </c>
      <c r="B96" s="26" t="s">
        <v>71</v>
      </c>
      <c r="C96" s="11">
        <f>52609.96</f>
        <v>52609.96</v>
      </c>
      <c r="D96" s="11">
        <f t="shared" ref="D96" si="75">52609.96-633.85</f>
        <v>51976.11</v>
      </c>
      <c r="E96" s="11">
        <v>0</v>
      </c>
      <c r="F96" s="11">
        <f t="shared" si="57"/>
        <v>51976.11</v>
      </c>
      <c r="G96" s="11">
        <f t="shared" si="58"/>
        <v>0</v>
      </c>
      <c r="H96" s="11">
        <f t="shared" si="59"/>
        <v>0</v>
      </c>
      <c r="J96" s="103"/>
    </row>
    <row r="97" spans="1:10" s="12" customFormat="1" ht="78" customHeight="1" x14ac:dyDescent="0.3">
      <c r="A97" s="24" t="s">
        <v>116</v>
      </c>
      <c r="B97" s="35" t="s">
        <v>117</v>
      </c>
      <c r="C97" s="21">
        <f>1610780.49</f>
        <v>1610780.49</v>
      </c>
      <c r="D97" s="21">
        <f t="shared" ref="D97" si="76">1610780.49+10159.27</f>
        <v>1620939.76</v>
      </c>
      <c r="E97" s="21">
        <v>0</v>
      </c>
      <c r="F97" s="21">
        <f t="shared" si="57"/>
        <v>1620939.76</v>
      </c>
      <c r="G97" s="21">
        <f t="shared" si="58"/>
        <v>0</v>
      </c>
      <c r="H97" s="21">
        <f t="shared" si="59"/>
        <v>0</v>
      </c>
      <c r="J97" s="103"/>
    </row>
    <row r="98" spans="1:10" s="12" customFormat="1" ht="78" customHeight="1" x14ac:dyDescent="0.3">
      <c r="A98" s="50" t="s">
        <v>115</v>
      </c>
      <c r="B98" s="35" t="s">
        <v>117</v>
      </c>
      <c r="C98" s="21">
        <f>84777.92</f>
        <v>84777.919999999998</v>
      </c>
      <c r="D98" s="21">
        <f t="shared" ref="D98" si="77">84777.92+534.7</f>
        <v>85312.62</v>
      </c>
      <c r="E98" s="21">
        <v>0</v>
      </c>
      <c r="F98" s="21">
        <f t="shared" si="57"/>
        <v>85312.62</v>
      </c>
      <c r="G98" s="21">
        <f t="shared" si="58"/>
        <v>0</v>
      </c>
      <c r="H98" s="21">
        <f t="shared" si="59"/>
        <v>0</v>
      </c>
      <c r="J98" s="103"/>
    </row>
    <row r="99" spans="1:10" s="12" customFormat="1" ht="62.4" customHeight="1" x14ac:dyDescent="0.3">
      <c r="A99" s="24" t="s">
        <v>365</v>
      </c>
      <c r="B99" s="35" t="s">
        <v>364</v>
      </c>
      <c r="C99" s="11">
        <v>7060533.6900000004</v>
      </c>
      <c r="D99" s="11">
        <v>7060533.6900000004</v>
      </c>
      <c r="E99" s="11">
        <v>0</v>
      </c>
      <c r="F99" s="11">
        <f t="shared" si="57"/>
        <v>7060533.6900000004</v>
      </c>
      <c r="G99" s="11">
        <f t="shared" si="58"/>
        <v>0</v>
      </c>
      <c r="H99" s="11">
        <f t="shared" si="59"/>
        <v>0</v>
      </c>
      <c r="J99" s="103"/>
    </row>
    <row r="100" spans="1:10" s="12" customFormat="1" ht="78" customHeight="1" x14ac:dyDescent="0.3">
      <c r="A100" s="24" t="s">
        <v>366</v>
      </c>
      <c r="B100" s="35" t="s">
        <v>364</v>
      </c>
      <c r="C100" s="11">
        <v>371607.03999999998</v>
      </c>
      <c r="D100" s="11">
        <v>371607.03999999998</v>
      </c>
      <c r="E100" s="11">
        <v>0</v>
      </c>
      <c r="F100" s="11">
        <f t="shared" si="57"/>
        <v>371607.03999999998</v>
      </c>
      <c r="G100" s="11">
        <f t="shared" si="58"/>
        <v>0</v>
      </c>
      <c r="H100" s="11">
        <f t="shared" si="59"/>
        <v>0</v>
      </c>
      <c r="J100" s="103"/>
    </row>
    <row r="101" spans="1:10" s="12" customFormat="1" ht="62.4" customHeight="1" x14ac:dyDescent="0.3">
      <c r="A101" s="24" t="s">
        <v>368</v>
      </c>
      <c r="B101" s="35" t="s">
        <v>367</v>
      </c>
      <c r="C101" s="11">
        <v>10000000</v>
      </c>
      <c r="D101" s="11">
        <v>10000000</v>
      </c>
      <c r="E101" s="11">
        <v>0</v>
      </c>
      <c r="F101" s="11">
        <f t="shared" si="57"/>
        <v>10000000</v>
      </c>
      <c r="G101" s="11">
        <f t="shared" si="58"/>
        <v>0</v>
      </c>
      <c r="H101" s="11">
        <f t="shared" si="59"/>
        <v>0</v>
      </c>
      <c r="J101" s="103"/>
    </row>
    <row r="102" spans="1:10" s="12" customFormat="1" ht="78" customHeight="1" x14ac:dyDescent="0.3">
      <c r="A102" s="24" t="s">
        <v>369</v>
      </c>
      <c r="B102" s="35" t="s">
        <v>367</v>
      </c>
      <c r="C102" s="11">
        <v>526315.79</v>
      </c>
      <c r="D102" s="11">
        <v>526315.79</v>
      </c>
      <c r="E102" s="11">
        <v>0</v>
      </c>
      <c r="F102" s="11">
        <f t="shared" si="57"/>
        <v>526315.79</v>
      </c>
      <c r="G102" s="11">
        <f t="shared" si="58"/>
        <v>0</v>
      </c>
      <c r="H102" s="11">
        <f t="shared" si="59"/>
        <v>0</v>
      </c>
      <c r="J102" s="103"/>
    </row>
    <row r="103" spans="1:10" s="12" customFormat="1" ht="62.4" customHeight="1" x14ac:dyDescent="0.3">
      <c r="A103" s="24" t="s">
        <v>76</v>
      </c>
      <c r="B103" s="35" t="s">
        <v>83</v>
      </c>
      <c r="C103" s="11">
        <v>168005</v>
      </c>
      <c r="D103" s="11">
        <v>168005</v>
      </c>
      <c r="E103" s="11">
        <v>0</v>
      </c>
      <c r="F103" s="11">
        <f t="shared" si="57"/>
        <v>168005</v>
      </c>
      <c r="G103" s="11">
        <f t="shared" si="58"/>
        <v>0</v>
      </c>
      <c r="H103" s="11">
        <f t="shared" si="59"/>
        <v>0</v>
      </c>
      <c r="J103" s="103"/>
    </row>
    <row r="104" spans="1:10" s="12" customFormat="1" ht="78" customHeight="1" x14ac:dyDescent="0.3">
      <c r="A104" s="24" t="s">
        <v>82</v>
      </c>
      <c r="B104" s="35" t="s">
        <v>83</v>
      </c>
      <c r="C104" s="11">
        <v>8842.3700000000008</v>
      </c>
      <c r="D104" s="11">
        <v>8842.3700000000008</v>
      </c>
      <c r="E104" s="11">
        <v>0</v>
      </c>
      <c r="F104" s="11">
        <f t="shared" si="57"/>
        <v>8842.3700000000008</v>
      </c>
      <c r="G104" s="11">
        <f t="shared" si="58"/>
        <v>0</v>
      </c>
      <c r="H104" s="11">
        <f t="shared" si="59"/>
        <v>0</v>
      </c>
      <c r="J104" s="103"/>
    </row>
    <row r="105" spans="1:10" s="8" customFormat="1" ht="15.6" customHeight="1" x14ac:dyDescent="0.3">
      <c r="A105" s="28" t="s">
        <v>342</v>
      </c>
      <c r="B105" s="14" t="s">
        <v>341</v>
      </c>
      <c r="C105" s="7">
        <f>C106+C107</f>
        <v>0</v>
      </c>
      <c r="D105" s="7">
        <f t="shared" ref="D105:E105" si="78">D106+D107</f>
        <v>0</v>
      </c>
      <c r="E105" s="7">
        <f t="shared" si="78"/>
        <v>0</v>
      </c>
      <c r="F105" s="7">
        <f t="shared" si="57"/>
        <v>0</v>
      </c>
      <c r="G105" s="7" t="s">
        <v>540</v>
      </c>
      <c r="H105" s="7" t="s">
        <v>540</v>
      </c>
      <c r="J105" s="103"/>
    </row>
    <row r="106" spans="1:10" s="12" customFormat="1" ht="31.2" customHeight="1" x14ac:dyDescent="0.3">
      <c r="A106" s="10" t="s">
        <v>344</v>
      </c>
      <c r="B106" s="35" t="s">
        <v>343</v>
      </c>
      <c r="C106" s="11">
        <v>0</v>
      </c>
      <c r="D106" s="11">
        <v>0</v>
      </c>
      <c r="E106" s="11">
        <v>0</v>
      </c>
      <c r="F106" s="11">
        <f t="shared" si="57"/>
        <v>0</v>
      </c>
      <c r="G106" s="11" t="s">
        <v>540</v>
      </c>
      <c r="H106" s="11" t="s">
        <v>540</v>
      </c>
      <c r="J106" s="103"/>
    </row>
    <row r="107" spans="1:10" s="12" customFormat="1" ht="31.2" customHeight="1" x14ac:dyDescent="0.3">
      <c r="A107" s="10" t="s">
        <v>345</v>
      </c>
      <c r="B107" s="35" t="s">
        <v>343</v>
      </c>
      <c r="C107" s="11">
        <v>0</v>
      </c>
      <c r="D107" s="11">
        <v>0</v>
      </c>
      <c r="E107" s="11">
        <v>0</v>
      </c>
      <c r="F107" s="11">
        <f t="shared" si="57"/>
        <v>0</v>
      </c>
      <c r="G107" s="11" t="s">
        <v>540</v>
      </c>
      <c r="H107" s="11" t="s">
        <v>540</v>
      </c>
      <c r="J107" s="103"/>
    </row>
    <row r="108" spans="1:10" s="8" customFormat="1" ht="62.4" customHeight="1" x14ac:dyDescent="0.3">
      <c r="A108" s="15" t="s">
        <v>193</v>
      </c>
      <c r="B108" s="37" t="s">
        <v>17</v>
      </c>
      <c r="C108" s="19">
        <f>C109</f>
        <v>13773020</v>
      </c>
      <c r="D108" s="19">
        <f t="shared" ref="D108:E108" si="79">D109</f>
        <v>13773020</v>
      </c>
      <c r="E108" s="19">
        <f t="shared" si="79"/>
        <v>2956405.54</v>
      </c>
      <c r="F108" s="19">
        <f t="shared" si="57"/>
        <v>10816614.460000001</v>
      </c>
      <c r="G108" s="19">
        <f t="shared" si="58"/>
        <v>21.47</v>
      </c>
      <c r="H108" s="19">
        <f t="shared" si="59"/>
        <v>21.47</v>
      </c>
      <c r="J108" s="103"/>
    </row>
    <row r="109" spans="1:10" s="8" customFormat="1" ht="62.4" customHeight="1" x14ac:dyDescent="0.3">
      <c r="A109" s="15" t="s">
        <v>529</v>
      </c>
      <c r="B109" s="37" t="s">
        <v>297</v>
      </c>
      <c r="C109" s="19">
        <f>C110+C111</f>
        <v>13773020</v>
      </c>
      <c r="D109" s="19">
        <f t="shared" ref="D109:E109" si="80">D110+D111</f>
        <v>13773020</v>
      </c>
      <c r="E109" s="19">
        <f t="shared" si="80"/>
        <v>2956405.54</v>
      </c>
      <c r="F109" s="19">
        <f t="shared" si="57"/>
        <v>10816614.460000001</v>
      </c>
      <c r="G109" s="19">
        <f t="shared" si="58"/>
        <v>21.47</v>
      </c>
      <c r="H109" s="19">
        <f t="shared" si="59"/>
        <v>21.47</v>
      </c>
      <c r="J109" s="103"/>
    </row>
    <row r="110" spans="1:10" s="12" customFormat="1" ht="31.2" customHeight="1" x14ac:dyDescent="0.3">
      <c r="A110" s="20" t="s">
        <v>40</v>
      </c>
      <c r="B110" s="47" t="s">
        <v>194</v>
      </c>
      <c r="C110" s="21">
        <v>13773020</v>
      </c>
      <c r="D110" s="21">
        <v>13773020</v>
      </c>
      <c r="E110" s="21">
        <v>2956405.54</v>
      </c>
      <c r="F110" s="21">
        <f t="shared" si="57"/>
        <v>10816614.460000001</v>
      </c>
      <c r="G110" s="21">
        <f t="shared" si="58"/>
        <v>21.47</v>
      </c>
      <c r="H110" s="21">
        <f t="shared" si="59"/>
        <v>21.47</v>
      </c>
      <c r="J110" s="103"/>
    </row>
    <row r="111" spans="1:10" s="8" customFormat="1" ht="31.2" customHeight="1" x14ac:dyDescent="0.3">
      <c r="A111" s="20" t="s">
        <v>43</v>
      </c>
      <c r="B111" s="5" t="s">
        <v>195</v>
      </c>
      <c r="C111" s="11">
        <v>0</v>
      </c>
      <c r="D111" s="11">
        <v>0</v>
      </c>
      <c r="E111" s="11">
        <v>0</v>
      </c>
      <c r="F111" s="11">
        <f t="shared" si="57"/>
        <v>0</v>
      </c>
      <c r="G111" s="11" t="s">
        <v>540</v>
      </c>
      <c r="H111" s="11" t="s">
        <v>540</v>
      </c>
      <c r="J111" s="103"/>
    </row>
    <row r="112" spans="1:10" s="8" customFormat="1" ht="62.4" customHeight="1" x14ac:dyDescent="0.3">
      <c r="A112" s="36" t="s">
        <v>441</v>
      </c>
      <c r="B112" s="6" t="s">
        <v>63</v>
      </c>
      <c r="C112" s="19">
        <f>C113+C116+C120+C125+C146</f>
        <v>70543534.480000004</v>
      </c>
      <c r="D112" s="19">
        <f t="shared" ref="D112:E112" si="81">D113+D116+D120+D125+D146</f>
        <v>37519857.670000002</v>
      </c>
      <c r="E112" s="19">
        <f t="shared" si="81"/>
        <v>9468605.4199999999</v>
      </c>
      <c r="F112" s="19">
        <f t="shared" si="57"/>
        <v>28051252.25</v>
      </c>
      <c r="G112" s="19">
        <f t="shared" si="58"/>
        <v>13.42</v>
      </c>
      <c r="H112" s="19">
        <f t="shared" si="59"/>
        <v>25.24</v>
      </c>
      <c r="J112" s="103"/>
    </row>
    <row r="113" spans="1:10" s="8" customFormat="1" ht="31.2" customHeight="1" x14ac:dyDescent="0.3">
      <c r="A113" s="23" t="s">
        <v>443</v>
      </c>
      <c r="B113" s="38" t="s">
        <v>442</v>
      </c>
      <c r="C113" s="7">
        <f>C114</f>
        <v>100000</v>
      </c>
      <c r="D113" s="7">
        <f t="shared" ref="D113:E114" si="82">D114</f>
        <v>100000</v>
      </c>
      <c r="E113" s="7">
        <f t="shared" si="82"/>
        <v>0</v>
      </c>
      <c r="F113" s="7">
        <f t="shared" si="57"/>
        <v>100000</v>
      </c>
      <c r="G113" s="7">
        <f t="shared" si="58"/>
        <v>0</v>
      </c>
      <c r="H113" s="7">
        <f t="shared" si="59"/>
        <v>0</v>
      </c>
      <c r="J113" s="103"/>
    </row>
    <row r="114" spans="1:10" s="8" customFormat="1" ht="31.2" customHeight="1" x14ac:dyDescent="0.3">
      <c r="A114" s="23" t="s">
        <v>453</v>
      </c>
      <c r="B114" s="38" t="s">
        <v>454</v>
      </c>
      <c r="C114" s="7">
        <f>C115</f>
        <v>100000</v>
      </c>
      <c r="D114" s="7">
        <f t="shared" si="82"/>
        <v>100000</v>
      </c>
      <c r="E114" s="7">
        <f t="shared" si="82"/>
        <v>0</v>
      </c>
      <c r="F114" s="7">
        <f t="shared" si="57"/>
        <v>100000</v>
      </c>
      <c r="G114" s="7">
        <f t="shared" si="58"/>
        <v>0</v>
      </c>
      <c r="H114" s="7">
        <f t="shared" si="59"/>
        <v>0</v>
      </c>
      <c r="J114" s="103"/>
    </row>
    <row r="115" spans="1:10" s="8" customFormat="1" ht="46.95" customHeight="1" x14ac:dyDescent="0.3">
      <c r="A115" s="41" t="s">
        <v>324</v>
      </c>
      <c r="B115" s="51" t="s">
        <v>444</v>
      </c>
      <c r="C115" s="11">
        <f>1000000-900000</f>
        <v>100000</v>
      </c>
      <c r="D115" s="11">
        <f t="shared" ref="D115" si="83">1000000-900000</f>
        <v>100000</v>
      </c>
      <c r="E115" s="11">
        <v>0</v>
      </c>
      <c r="F115" s="11">
        <f t="shared" si="57"/>
        <v>100000</v>
      </c>
      <c r="G115" s="11">
        <f t="shared" si="58"/>
        <v>0</v>
      </c>
      <c r="H115" s="11">
        <f t="shared" si="59"/>
        <v>0</v>
      </c>
      <c r="J115" s="103"/>
    </row>
    <row r="116" spans="1:10" s="8" customFormat="1" ht="31.2" customHeight="1" x14ac:dyDescent="0.3">
      <c r="A116" s="29" t="s">
        <v>226</v>
      </c>
      <c r="B116" s="16" t="s">
        <v>6</v>
      </c>
      <c r="C116" s="19">
        <f>C117</f>
        <v>6343507.4400000004</v>
      </c>
      <c r="D116" s="19">
        <f t="shared" ref="D116:E116" si="84">D117</f>
        <v>5995808.0300000003</v>
      </c>
      <c r="E116" s="19">
        <f t="shared" si="84"/>
        <v>2498253.35</v>
      </c>
      <c r="F116" s="19">
        <f t="shared" si="57"/>
        <v>3497554.68</v>
      </c>
      <c r="G116" s="19">
        <f t="shared" si="58"/>
        <v>39.380000000000003</v>
      </c>
      <c r="H116" s="19">
        <f t="shared" si="59"/>
        <v>41.67</v>
      </c>
      <c r="J116" s="103"/>
    </row>
    <row r="117" spans="1:10" s="8" customFormat="1" ht="31.2" customHeight="1" x14ac:dyDescent="0.3">
      <c r="A117" s="29" t="s">
        <v>283</v>
      </c>
      <c r="B117" s="16" t="s">
        <v>227</v>
      </c>
      <c r="C117" s="19">
        <f>C118+C119</f>
        <v>6343507.4400000004</v>
      </c>
      <c r="D117" s="19">
        <f t="shared" ref="D117:E117" si="85">D118+D119</f>
        <v>5995808.0300000003</v>
      </c>
      <c r="E117" s="19">
        <f t="shared" si="85"/>
        <v>2498253.35</v>
      </c>
      <c r="F117" s="19">
        <f t="shared" si="57"/>
        <v>3497554.68</v>
      </c>
      <c r="G117" s="19">
        <f t="shared" si="58"/>
        <v>39.380000000000003</v>
      </c>
      <c r="H117" s="19">
        <f t="shared" si="59"/>
        <v>41.67</v>
      </c>
      <c r="J117" s="103"/>
    </row>
    <row r="118" spans="1:10" s="12" customFormat="1" ht="46.95" customHeight="1" x14ac:dyDescent="0.3">
      <c r="A118" s="24" t="s">
        <v>120</v>
      </c>
      <c r="B118" s="5" t="s">
        <v>69</v>
      </c>
      <c r="C118" s="21">
        <f>5247568.83</f>
        <v>5247568.83</v>
      </c>
      <c r="D118" s="21">
        <f t="shared" ref="D118" si="86">5247568.83-347699.41</f>
        <v>4899869.42</v>
      </c>
      <c r="E118" s="21">
        <v>2041612.26</v>
      </c>
      <c r="F118" s="21">
        <f t="shared" si="57"/>
        <v>2858257.16</v>
      </c>
      <c r="G118" s="21">
        <f t="shared" si="58"/>
        <v>38.909999999999997</v>
      </c>
      <c r="H118" s="21">
        <f t="shared" si="59"/>
        <v>41.67</v>
      </c>
      <c r="J118" s="103"/>
    </row>
    <row r="119" spans="1:10" s="12" customFormat="1" ht="31.2" customHeight="1" x14ac:dyDescent="0.3">
      <c r="A119" s="20" t="s">
        <v>121</v>
      </c>
      <c r="B119" s="5" t="s">
        <v>69</v>
      </c>
      <c r="C119" s="11">
        <v>1095938.6100000001</v>
      </c>
      <c r="D119" s="11">
        <v>1095938.6100000001</v>
      </c>
      <c r="E119" s="11">
        <v>456641.09</v>
      </c>
      <c r="F119" s="11">
        <f t="shared" si="57"/>
        <v>639297.52</v>
      </c>
      <c r="G119" s="11">
        <f t="shared" si="58"/>
        <v>41.67</v>
      </c>
      <c r="H119" s="11">
        <f t="shared" si="59"/>
        <v>41.67</v>
      </c>
      <c r="J119" s="103"/>
    </row>
    <row r="120" spans="1:10" s="8" customFormat="1" ht="62.4" customHeight="1" x14ac:dyDescent="0.3">
      <c r="A120" s="29" t="s">
        <v>452</v>
      </c>
      <c r="B120" s="16" t="s">
        <v>445</v>
      </c>
      <c r="C120" s="19">
        <f>C121</f>
        <v>47194929.600000001</v>
      </c>
      <c r="D120" s="19">
        <f t="shared" ref="D120:E120" si="87">D121</f>
        <v>5672114.4000000004</v>
      </c>
      <c r="E120" s="19">
        <f t="shared" si="87"/>
        <v>198170</v>
      </c>
      <c r="F120" s="19">
        <f t="shared" si="57"/>
        <v>5473944.4000000004</v>
      </c>
      <c r="G120" s="19">
        <f t="shared" si="58"/>
        <v>0.42</v>
      </c>
      <c r="H120" s="19">
        <f t="shared" si="59"/>
        <v>3.49</v>
      </c>
      <c r="J120" s="103"/>
    </row>
    <row r="121" spans="1:10" s="8" customFormat="1" ht="62.4" customHeight="1" x14ac:dyDescent="0.3">
      <c r="A121" s="29" t="s">
        <v>482</v>
      </c>
      <c r="B121" s="16" t="s">
        <v>446</v>
      </c>
      <c r="C121" s="19">
        <f>C122+C123+C124</f>
        <v>47194929.600000001</v>
      </c>
      <c r="D121" s="19">
        <f t="shared" ref="D121:E121" si="88">D122+D123+D124</f>
        <v>5672114.4000000004</v>
      </c>
      <c r="E121" s="19">
        <f t="shared" si="88"/>
        <v>198170</v>
      </c>
      <c r="F121" s="19">
        <f t="shared" si="57"/>
        <v>5473944.4000000004</v>
      </c>
      <c r="G121" s="19">
        <f t="shared" si="58"/>
        <v>0.42</v>
      </c>
      <c r="H121" s="19">
        <f t="shared" si="59"/>
        <v>3.49</v>
      </c>
      <c r="J121" s="103"/>
    </row>
    <row r="122" spans="1:10" s="8" customFormat="1" ht="62.4" customHeight="1" x14ac:dyDescent="0.3">
      <c r="A122" s="24" t="s">
        <v>93</v>
      </c>
      <c r="B122" s="26" t="s">
        <v>447</v>
      </c>
      <c r="C122" s="11">
        <f>24585900</f>
        <v>24585900</v>
      </c>
      <c r="D122" s="11">
        <f t="shared" ref="D122:E122" si="89">24585900-24585900</f>
        <v>0</v>
      </c>
      <c r="E122" s="11">
        <f t="shared" si="89"/>
        <v>0</v>
      </c>
      <c r="F122" s="11">
        <f t="shared" si="57"/>
        <v>0</v>
      </c>
      <c r="G122" s="11">
        <f t="shared" si="58"/>
        <v>0</v>
      </c>
      <c r="H122" s="11" t="s">
        <v>540</v>
      </c>
      <c r="J122" s="103"/>
    </row>
    <row r="123" spans="1:10" s="12" customFormat="1" ht="62.4" customHeight="1" x14ac:dyDescent="0.3">
      <c r="A123" s="24" t="s">
        <v>346</v>
      </c>
      <c r="B123" s="26" t="s">
        <v>448</v>
      </c>
      <c r="C123" s="11">
        <f>21328110.52</f>
        <v>21328110.52</v>
      </c>
      <c r="D123" s="11">
        <f t="shared" ref="D123" si="90">21328110.52-16410930.52</f>
        <v>4917180</v>
      </c>
      <c r="E123" s="11">
        <v>0</v>
      </c>
      <c r="F123" s="11">
        <f t="shared" si="57"/>
        <v>4917180</v>
      </c>
      <c r="G123" s="11">
        <f t="shared" si="58"/>
        <v>0</v>
      </c>
      <c r="H123" s="11">
        <f t="shared" si="59"/>
        <v>0</v>
      </c>
      <c r="J123" s="103"/>
    </row>
    <row r="124" spans="1:10" s="8" customFormat="1" ht="93.6" customHeight="1" x14ac:dyDescent="0.3">
      <c r="A124" s="24" t="s">
        <v>349</v>
      </c>
      <c r="B124" s="26" t="s">
        <v>448</v>
      </c>
      <c r="C124" s="11">
        <f>1280919.08</f>
        <v>1280919.08</v>
      </c>
      <c r="D124" s="11">
        <f t="shared" ref="D124" si="91">1280919.08-266815.13-50511.62-208657.93</f>
        <v>754934.4</v>
      </c>
      <c r="E124" s="11">
        <v>198170</v>
      </c>
      <c r="F124" s="11">
        <f t="shared" si="57"/>
        <v>556764.4</v>
      </c>
      <c r="G124" s="11">
        <f t="shared" si="58"/>
        <v>15.47</v>
      </c>
      <c r="H124" s="11">
        <f t="shared" si="59"/>
        <v>26.25</v>
      </c>
      <c r="J124" s="103"/>
    </row>
    <row r="125" spans="1:10" s="8" customFormat="1" ht="46.95" customHeight="1" x14ac:dyDescent="0.3">
      <c r="A125" s="23" t="s">
        <v>264</v>
      </c>
      <c r="B125" s="38" t="s">
        <v>77</v>
      </c>
      <c r="C125" s="7">
        <f>C126+C137+C141+C143+C131</f>
        <v>13101097.439999999</v>
      </c>
      <c r="D125" s="7">
        <f t="shared" ref="D125:E125" si="92">D126+D137+D141+D143+D131</f>
        <v>19447935.239999998</v>
      </c>
      <c r="E125" s="7">
        <f t="shared" si="92"/>
        <v>3996908.38</v>
      </c>
      <c r="F125" s="7">
        <f t="shared" si="57"/>
        <v>15451026.859999999</v>
      </c>
      <c r="G125" s="7">
        <f t="shared" si="58"/>
        <v>30.51</v>
      </c>
      <c r="H125" s="7">
        <f t="shared" si="59"/>
        <v>20.55</v>
      </c>
      <c r="J125" s="103"/>
    </row>
    <row r="126" spans="1:10" s="8" customFormat="1" ht="46.95" customHeight="1" x14ac:dyDescent="0.3">
      <c r="A126" s="23" t="s">
        <v>455</v>
      </c>
      <c r="B126" s="38" t="s">
        <v>78</v>
      </c>
      <c r="C126" s="7">
        <f>C127+C128+C129+C130</f>
        <v>0</v>
      </c>
      <c r="D126" s="7">
        <f t="shared" ref="D126:E126" si="93">D127+D128+D129+D130</f>
        <v>723941.55</v>
      </c>
      <c r="E126" s="7">
        <f t="shared" si="93"/>
        <v>0</v>
      </c>
      <c r="F126" s="7">
        <f t="shared" si="57"/>
        <v>723941.55</v>
      </c>
      <c r="G126" s="7" t="s">
        <v>540</v>
      </c>
      <c r="H126" s="7">
        <f t="shared" si="59"/>
        <v>0</v>
      </c>
      <c r="J126" s="103"/>
    </row>
    <row r="127" spans="1:10" s="8" customFormat="1" ht="31.2" customHeight="1" x14ac:dyDescent="0.3">
      <c r="A127" s="24" t="s">
        <v>265</v>
      </c>
      <c r="B127" s="26" t="s">
        <v>449</v>
      </c>
      <c r="C127" s="21">
        <f>288213.5-288213.5</f>
        <v>0</v>
      </c>
      <c r="D127" s="21">
        <f t="shared" ref="D127:E127" si="94">288213.5-288213.5</f>
        <v>0</v>
      </c>
      <c r="E127" s="21">
        <f t="shared" si="94"/>
        <v>0</v>
      </c>
      <c r="F127" s="21">
        <f t="shared" si="57"/>
        <v>0</v>
      </c>
      <c r="G127" s="21" t="s">
        <v>540</v>
      </c>
      <c r="H127" s="21" t="s">
        <v>540</v>
      </c>
      <c r="J127" s="103"/>
    </row>
    <row r="128" spans="1:10" s="8" customFormat="1" ht="62.4" customHeight="1" x14ac:dyDescent="0.3">
      <c r="A128" s="41" t="s">
        <v>118</v>
      </c>
      <c r="B128" s="4" t="s">
        <v>450</v>
      </c>
      <c r="C128" s="11">
        <v>0</v>
      </c>
      <c r="D128" s="11">
        <v>0</v>
      </c>
      <c r="E128" s="11">
        <v>0</v>
      </c>
      <c r="F128" s="11">
        <f t="shared" si="57"/>
        <v>0</v>
      </c>
      <c r="G128" s="11" t="s">
        <v>540</v>
      </c>
      <c r="H128" s="11" t="s">
        <v>540</v>
      </c>
      <c r="J128" s="103"/>
    </row>
    <row r="129" spans="1:10" s="8" customFormat="1" ht="62.4" customHeight="1" x14ac:dyDescent="0.3">
      <c r="A129" s="41" t="s">
        <v>119</v>
      </c>
      <c r="B129" s="4" t="s">
        <v>450</v>
      </c>
      <c r="C129" s="11">
        <v>0</v>
      </c>
      <c r="D129" s="11">
        <v>723941.55</v>
      </c>
      <c r="E129" s="11">
        <v>0</v>
      </c>
      <c r="F129" s="11">
        <f t="shared" si="57"/>
        <v>723941.55</v>
      </c>
      <c r="G129" s="11" t="s">
        <v>540</v>
      </c>
      <c r="H129" s="11">
        <f t="shared" si="59"/>
        <v>0</v>
      </c>
      <c r="J129" s="103"/>
    </row>
    <row r="130" spans="1:10" s="8" customFormat="1" ht="78" customHeight="1" x14ac:dyDescent="0.3">
      <c r="A130" s="41" t="s">
        <v>266</v>
      </c>
      <c r="B130" s="26" t="s">
        <v>451</v>
      </c>
      <c r="C130" s="11">
        <v>0</v>
      </c>
      <c r="D130" s="11">
        <v>0</v>
      </c>
      <c r="E130" s="11">
        <v>0</v>
      </c>
      <c r="F130" s="11">
        <f t="shared" si="57"/>
        <v>0</v>
      </c>
      <c r="G130" s="11" t="s">
        <v>540</v>
      </c>
      <c r="H130" s="11" t="s">
        <v>540</v>
      </c>
      <c r="J130" s="103"/>
    </row>
    <row r="131" spans="1:10" s="8" customFormat="1" ht="31.2" customHeight="1" x14ac:dyDescent="0.3">
      <c r="A131" s="23" t="s">
        <v>485</v>
      </c>
      <c r="B131" s="38" t="s">
        <v>466</v>
      </c>
      <c r="C131" s="7">
        <f>C132+C133+C134+C135+C136</f>
        <v>6223199.0499999998</v>
      </c>
      <c r="D131" s="7">
        <f t="shared" ref="D131:E131" si="95">D132+D133+D134+D135+D136</f>
        <v>9568269.3000000007</v>
      </c>
      <c r="E131" s="7">
        <f t="shared" si="95"/>
        <v>1645744.53</v>
      </c>
      <c r="F131" s="7">
        <f t="shared" si="57"/>
        <v>7922524.7699999996</v>
      </c>
      <c r="G131" s="7">
        <f t="shared" si="58"/>
        <v>26.45</v>
      </c>
      <c r="H131" s="7">
        <f t="shared" si="59"/>
        <v>17.2</v>
      </c>
      <c r="J131" s="103"/>
    </row>
    <row r="132" spans="1:10" s="8" customFormat="1" ht="31.95" customHeight="1" x14ac:dyDescent="0.3">
      <c r="A132" s="41" t="s">
        <v>467</v>
      </c>
      <c r="B132" s="26" t="s">
        <v>476</v>
      </c>
      <c r="C132" s="11">
        <v>1600000</v>
      </c>
      <c r="D132" s="11">
        <v>1600000</v>
      </c>
      <c r="E132" s="11">
        <v>0</v>
      </c>
      <c r="F132" s="11">
        <f t="shared" si="57"/>
        <v>1600000</v>
      </c>
      <c r="G132" s="11">
        <f t="shared" si="58"/>
        <v>0</v>
      </c>
      <c r="H132" s="11">
        <f t="shared" si="59"/>
        <v>0</v>
      </c>
      <c r="J132" s="103"/>
    </row>
    <row r="133" spans="1:10" s="8" customFormat="1" ht="31.95" customHeight="1" x14ac:dyDescent="0.3">
      <c r="A133" s="41" t="s">
        <v>469</v>
      </c>
      <c r="B133" s="26" t="s">
        <v>477</v>
      </c>
      <c r="C133" s="11">
        <v>2223199.0499999998</v>
      </c>
      <c r="D133" s="11">
        <v>2223199.0499999998</v>
      </c>
      <c r="E133" s="11">
        <v>1201313.46</v>
      </c>
      <c r="F133" s="11">
        <f t="shared" si="57"/>
        <v>1021885.59</v>
      </c>
      <c r="G133" s="11">
        <f t="shared" si="58"/>
        <v>54.04</v>
      </c>
      <c r="H133" s="11">
        <f t="shared" si="59"/>
        <v>54.04</v>
      </c>
      <c r="J133" s="103"/>
    </row>
    <row r="134" spans="1:10" s="8" customFormat="1" ht="31.95" customHeight="1" x14ac:dyDescent="0.3">
      <c r="A134" s="41" t="s">
        <v>468</v>
      </c>
      <c r="B134" s="26" t="s">
        <v>478</v>
      </c>
      <c r="C134" s="11">
        <f>1500000</f>
        <v>1500000</v>
      </c>
      <c r="D134" s="11">
        <f t="shared" ref="D134" si="96">1500000+385000</f>
        <v>1885000</v>
      </c>
      <c r="E134" s="11">
        <v>354949.24</v>
      </c>
      <c r="F134" s="11">
        <f t="shared" si="57"/>
        <v>1530050.76</v>
      </c>
      <c r="G134" s="11">
        <f t="shared" si="58"/>
        <v>23.66</v>
      </c>
      <c r="H134" s="11">
        <f t="shared" si="59"/>
        <v>18.829999999999998</v>
      </c>
      <c r="J134" s="103"/>
    </row>
    <row r="135" spans="1:10" s="8" customFormat="1" ht="31.95" customHeight="1" x14ac:dyDescent="0.3">
      <c r="A135" s="41" t="s">
        <v>470</v>
      </c>
      <c r="B135" s="26" t="s">
        <v>479</v>
      </c>
      <c r="C135" s="11">
        <f>900000</f>
        <v>900000</v>
      </c>
      <c r="D135" s="11">
        <v>988950.25</v>
      </c>
      <c r="E135" s="11">
        <v>89481.83</v>
      </c>
      <c r="F135" s="11">
        <f t="shared" si="57"/>
        <v>899468.42</v>
      </c>
      <c r="G135" s="11">
        <f t="shared" si="58"/>
        <v>9.94</v>
      </c>
      <c r="H135" s="11">
        <f t="shared" si="59"/>
        <v>9.0500000000000007</v>
      </c>
      <c r="J135" s="103"/>
    </row>
    <row r="136" spans="1:10" s="8" customFormat="1" ht="48" customHeight="1" x14ac:dyDescent="0.3">
      <c r="A136" s="41" t="s">
        <v>504</v>
      </c>
      <c r="B136" s="51" t="s">
        <v>503</v>
      </c>
      <c r="C136" s="11">
        <v>0</v>
      </c>
      <c r="D136" s="11">
        <f t="shared" ref="D136" si="97">0+2871120</f>
        <v>2871120</v>
      </c>
      <c r="E136" s="11">
        <v>0</v>
      </c>
      <c r="F136" s="11">
        <f t="shared" si="57"/>
        <v>2871120</v>
      </c>
      <c r="G136" s="11" t="s">
        <v>540</v>
      </c>
      <c r="H136" s="11">
        <f t="shared" si="59"/>
        <v>0</v>
      </c>
      <c r="J136" s="103"/>
    </row>
    <row r="137" spans="1:10" s="8" customFormat="1" ht="31.2" customHeight="1" x14ac:dyDescent="0.3">
      <c r="A137" s="23" t="s">
        <v>486</v>
      </c>
      <c r="B137" s="38" t="s">
        <v>457</v>
      </c>
      <c r="C137" s="7">
        <f>C138+C139+C140</f>
        <v>4000000</v>
      </c>
      <c r="D137" s="7">
        <f t="shared" ref="D137:E137" si="98">D138+D139+D140</f>
        <v>5000000</v>
      </c>
      <c r="E137" s="7">
        <f t="shared" si="98"/>
        <v>1572455.18</v>
      </c>
      <c r="F137" s="7">
        <f t="shared" ref="F137:F200" si="99">$D137-$E137</f>
        <v>3427544.82</v>
      </c>
      <c r="G137" s="7">
        <f t="shared" ref="G137:G200" si="100">$E137/$C137*100</f>
        <v>39.31</v>
      </c>
      <c r="H137" s="7">
        <f t="shared" ref="H137:H200" si="101">$E137/$D137*100</f>
        <v>31.45</v>
      </c>
      <c r="J137" s="103"/>
    </row>
    <row r="138" spans="1:10" s="8" customFormat="1" ht="31.2" customHeight="1" x14ac:dyDescent="0.3">
      <c r="A138" s="41" t="s">
        <v>72</v>
      </c>
      <c r="B138" s="51" t="s">
        <v>458</v>
      </c>
      <c r="C138" s="11">
        <v>0</v>
      </c>
      <c r="D138" s="11">
        <v>0</v>
      </c>
      <c r="E138" s="11">
        <v>0</v>
      </c>
      <c r="F138" s="11">
        <f t="shared" si="99"/>
        <v>0</v>
      </c>
      <c r="G138" s="11" t="s">
        <v>540</v>
      </c>
      <c r="H138" s="11" t="s">
        <v>540</v>
      </c>
      <c r="J138" s="103"/>
    </row>
    <row r="139" spans="1:10" s="8" customFormat="1" ht="46.95" customHeight="1" x14ac:dyDescent="0.3">
      <c r="A139" s="41" t="s">
        <v>426</v>
      </c>
      <c r="B139" s="51" t="s">
        <v>459</v>
      </c>
      <c r="C139" s="11">
        <v>2200000</v>
      </c>
      <c r="D139" s="11">
        <v>2200000</v>
      </c>
      <c r="E139" s="11">
        <v>459327.58</v>
      </c>
      <c r="F139" s="11">
        <f t="shared" si="99"/>
        <v>1740672.42</v>
      </c>
      <c r="G139" s="11">
        <f t="shared" si="100"/>
        <v>20.88</v>
      </c>
      <c r="H139" s="11">
        <f t="shared" si="101"/>
        <v>20.88</v>
      </c>
      <c r="J139" s="103"/>
    </row>
    <row r="140" spans="1:10" s="8" customFormat="1" ht="46.95" customHeight="1" x14ac:dyDescent="0.3">
      <c r="A140" s="41" t="s">
        <v>427</v>
      </c>
      <c r="B140" s="51" t="s">
        <v>460</v>
      </c>
      <c r="C140" s="11">
        <f>1800000</f>
        <v>1800000</v>
      </c>
      <c r="D140" s="11">
        <f t="shared" ref="D140" si="102">1800000+1000000</f>
        <v>2800000</v>
      </c>
      <c r="E140" s="11">
        <v>1113127.6000000001</v>
      </c>
      <c r="F140" s="11">
        <f t="shared" si="99"/>
        <v>1686872.4</v>
      </c>
      <c r="G140" s="11">
        <f t="shared" si="100"/>
        <v>61.84</v>
      </c>
      <c r="H140" s="11">
        <f t="shared" si="101"/>
        <v>39.75</v>
      </c>
      <c r="J140" s="103"/>
    </row>
    <row r="141" spans="1:10" s="8" customFormat="1" ht="46.95" customHeight="1" x14ac:dyDescent="0.3">
      <c r="A141" s="53" t="s">
        <v>487</v>
      </c>
      <c r="B141" s="38" t="s">
        <v>456</v>
      </c>
      <c r="C141" s="7">
        <f>C142</f>
        <v>950000</v>
      </c>
      <c r="D141" s="7">
        <f t="shared" ref="D141:E141" si="103">D142</f>
        <v>2227826</v>
      </c>
      <c r="E141" s="7">
        <f t="shared" si="103"/>
        <v>778708.67</v>
      </c>
      <c r="F141" s="7">
        <f t="shared" si="99"/>
        <v>1449117.33</v>
      </c>
      <c r="G141" s="7">
        <f t="shared" si="100"/>
        <v>81.97</v>
      </c>
      <c r="H141" s="7">
        <f t="shared" si="101"/>
        <v>34.950000000000003</v>
      </c>
      <c r="J141" s="103"/>
    </row>
    <row r="142" spans="1:10" s="8" customFormat="1" ht="31.2" customHeight="1" x14ac:dyDescent="0.3">
      <c r="A142" s="54" t="s">
        <v>436</v>
      </c>
      <c r="B142" s="4" t="s">
        <v>461</v>
      </c>
      <c r="C142" s="11">
        <f>950000</f>
        <v>950000</v>
      </c>
      <c r="D142" s="11">
        <f t="shared" ref="D142" si="104">950000+1277826</f>
        <v>2227826</v>
      </c>
      <c r="E142" s="11">
        <v>778708.67</v>
      </c>
      <c r="F142" s="11">
        <f t="shared" si="99"/>
        <v>1449117.33</v>
      </c>
      <c r="G142" s="11">
        <f t="shared" si="100"/>
        <v>81.97</v>
      </c>
      <c r="H142" s="11">
        <f t="shared" si="101"/>
        <v>34.950000000000003</v>
      </c>
      <c r="J142" s="103"/>
    </row>
    <row r="143" spans="1:10" s="8" customFormat="1" ht="31.2" customHeight="1" x14ac:dyDescent="0.3">
      <c r="A143" s="29" t="s">
        <v>462</v>
      </c>
      <c r="B143" s="6" t="s">
        <v>463</v>
      </c>
      <c r="C143" s="7">
        <f>C144+C145</f>
        <v>1927898.39</v>
      </c>
      <c r="D143" s="7">
        <f t="shared" ref="D143:E143" si="105">D144+D145</f>
        <v>1927898.39</v>
      </c>
      <c r="E143" s="7">
        <f t="shared" si="105"/>
        <v>0</v>
      </c>
      <c r="F143" s="7">
        <f t="shared" si="99"/>
        <v>1927898.39</v>
      </c>
      <c r="G143" s="7">
        <f t="shared" si="100"/>
        <v>0</v>
      </c>
      <c r="H143" s="7">
        <f t="shared" si="101"/>
        <v>0</v>
      </c>
      <c r="J143" s="103"/>
    </row>
    <row r="144" spans="1:10" s="8" customFormat="1" ht="46.95" customHeight="1" x14ac:dyDescent="0.3">
      <c r="A144" s="24" t="s">
        <v>79</v>
      </c>
      <c r="B144" s="26" t="s">
        <v>464</v>
      </c>
      <c r="C144" s="11">
        <v>1584438.39</v>
      </c>
      <c r="D144" s="11">
        <v>1584438.39</v>
      </c>
      <c r="E144" s="11">
        <v>0</v>
      </c>
      <c r="F144" s="11">
        <f t="shared" si="99"/>
        <v>1584438.39</v>
      </c>
      <c r="G144" s="11">
        <f t="shared" si="100"/>
        <v>0</v>
      </c>
      <c r="H144" s="11">
        <f t="shared" si="101"/>
        <v>0</v>
      </c>
      <c r="J144" s="103"/>
    </row>
    <row r="145" spans="1:10" s="8" customFormat="1" ht="46.95" customHeight="1" x14ac:dyDescent="0.3">
      <c r="A145" s="24" t="s">
        <v>81</v>
      </c>
      <c r="B145" s="26" t="s">
        <v>464</v>
      </c>
      <c r="C145" s="11">
        <v>343460</v>
      </c>
      <c r="D145" s="11">
        <v>343460</v>
      </c>
      <c r="E145" s="11">
        <v>0</v>
      </c>
      <c r="F145" s="11">
        <f t="shared" si="99"/>
        <v>343460</v>
      </c>
      <c r="G145" s="11">
        <f t="shared" si="100"/>
        <v>0</v>
      </c>
      <c r="H145" s="11">
        <f t="shared" si="101"/>
        <v>0</v>
      </c>
      <c r="J145" s="103"/>
    </row>
    <row r="146" spans="1:10" s="8" customFormat="1" ht="31.2" customHeight="1" x14ac:dyDescent="0.3">
      <c r="A146" s="23" t="s">
        <v>465</v>
      </c>
      <c r="B146" s="38" t="s">
        <v>471</v>
      </c>
      <c r="C146" s="7">
        <f>C147</f>
        <v>3804000</v>
      </c>
      <c r="D146" s="7">
        <f t="shared" ref="D146:E146" si="106">D147</f>
        <v>6304000</v>
      </c>
      <c r="E146" s="7">
        <f t="shared" si="106"/>
        <v>2775273.69</v>
      </c>
      <c r="F146" s="7">
        <f t="shared" si="99"/>
        <v>3528726.31</v>
      </c>
      <c r="G146" s="7">
        <f t="shared" si="100"/>
        <v>72.959999999999994</v>
      </c>
      <c r="H146" s="7">
        <f t="shared" si="101"/>
        <v>44.02</v>
      </c>
      <c r="J146" s="103"/>
    </row>
    <row r="147" spans="1:10" s="8" customFormat="1" ht="37.950000000000003" customHeight="1" x14ac:dyDescent="0.3">
      <c r="A147" s="23" t="s">
        <v>488</v>
      </c>
      <c r="B147" s="38" t="s">
        <v>472</v>
      </c>
      <c r="C147" s="7">
        <f>C148+C149</f>
        <v>3804000</v>
      </c>
      <c r="D147" s="7">
        <f t="shared" ref="D147:E147" si="107">D148+D149</f>
        <v>6304000</v>
      </c>
      <c r="E147" s="7">
        <f t="shared" si="107"/>
        <v>2775273.69</v>
      </c>
      <c r="F147" s="7">
        <f t="shared" si="99"/>
        <v>3528726.31</v>
      </c>
      <c r="G147" s="7">
        <f t="shared" si="100"/>
        <v>72.959999999999994</v>
      </c>
      <c r="H147" s="7">
        <f t="shared" si="101"/>
        <v>44.02</v>
      </c>
      <c r="J147" s="103"/>
    </row>
    <row r="148" spans="1:10" s="8" customFormat="1" ht="31.2" customHeight="1" x14ac:dyDescent="0.3">
      <c r="A148" s="50" t="s">
        <v>44</v>
      </c>
      <c r="B148" s="4" t="s">
        <v>473</v>
      </c>
      <c r="C148" s="11">
        <v>1704000</v>
      </c>
      <c r="D148" s="11">
        <v>1704000</v>
      </c>
      <c r="E148" s="11">
        <v>1683448.66</v>
      </c>
      <c r="F148" s="11">
        <f t="shared" si="99"/>
        <v>20551.34</v>
      </c>
      <c r="G148" s="11">
        <f t="shared" si="100"/>
        <v>98.79</v>
      </c>
      <c r="H148" s="11">
        <f t="shared" si="101"/>
        <v>98.79</v>
      </c>
      <c r="J148" s="103"/>
    </row>
    <row r="149" spans="1:10" s="8" customFormat="1" ht="24.6" customHeight="1" x14ac:dyDescent="0.3">
      <c r="A149" s="50" t="s">
        <v>474</v>
      </c>
      <c r="B149" s="4" t="s">
        <v>475</v>
      </c>
      <c r="C149" s="11">
        <f>2100000</f>
        <v>2100000</v>
      </c>
      <c r="D149" s="11">
        <f t="shared" ref="D149" si="108">2100000+2500000</f>
        <v>4600000</v>
      </c>
      <c r="E149" s="11">
        <v>1091825.03</v>
      </c>
      <c r="F149" s="11">
        <f t="shared" si="99"/>
        <v>3508174.97</v>
      </c>
      <c r="G149" s="11">
        <f t="shared" si="100"/>
        <v>51.99</v>
      </c>
      <c r="H149" s="11">
        <f t="shared" si="101"/>
        <v>23.74</v>
      </c>
      <c r="J149" s="103"/>
    </row>
    <row r="150" spans="1:10" s="8" customFormat="1" ht="62.4" customHeight="1" x14ac:dyDescent="0.3">
      <c r="A150" s="13" t="s">
        <v>205</v>
      </c>
      <c r="B150" s="6" t="s">
        <v>49</v>
      </c>
      <c r="C150" s="19">
        <f>C151</f>
        <v>5197302</v>
      </c>
      <c r="D150" s="19">
        <f t="shared" ref="D150:E151" si="109">D151</f>
        <v>8020112</v>
      </c>
      <c r="E150" s="19">
        <f t="shared" si="109"/>
        <v>1780373.59</v>
      </c>
      <c r="F150" s="19">
        <f t="shared" si="99"/>
        <v>6239738.4100000001</v>
      </c>
      <c r="G150" s="19">
        <f t="shared" si="100"/>
        <v>34.26</v>
      </c>
      <c r="H150" s="19">
        <f t="shared" si="101"/>
        <v>22.2</v>
      </c>
      <c r="J150" s="103"/>
    </row>
    <row r="151" spans="1:10" s="8" customFormat="1" ht="46.95" customHeight="1" x14ac:dyDescent="0.3">
      <c r="A151" s="28" t="s">
        <v>50</v>
      </c>
      <c r="B151" s="6" t="s">
        <v>51</v>
      </c>
      <c r="C151" s="19">
        <f>C152</f>
        <v>5197302</v>
      </c>
      <c r="D151" s="19">
        <f t="shared" si="109"/>
        <v>8020112</v>
      </c>
      <c r="E151" s="19">
        <f t="shared" si="109"/>
        <v>1780373.59</v>
      </c>
      <c r="F151" s="19">
        <f t="shared" si="99"/>
        <v>6239738.4100000001</v>
      </c>
      <c r="G151" s="19">
        <f t="shared" si="100"/>
        <v>34.26</v>
      </c>
      <c r="H151" s="19">
        <f t="shared" si="101"/>
        <v>22.2</v>
      </c>
      <c r="J151" s="103"/>
    </row>
    <row r="152" spans="1:10" s="8" customFormat="1" ht="46.95" customHeight="1" x14ac:dyDescent="0.3">
      <c r="A152" s="15" t="s">
        <v>299</v>
      </c>
      <c r="B152" s="6" t="s">
        <v>298</v>
      </c>
      <c r="C152" s="19">
        <f>C153+C155+C156+C154</f>
        <v>5197302</v>
      </c>
      <c r="D152" s="19">
        <f t="shared" ref="D152:E152" si="110">D153+D155+D156+D154</f>
        <v>8020112</v>
      </c>
      <c r="E152" s="19">
        <f t="shared" si="110"/>
        <v>1780373.59</v>
      </c>
      <c r="F152" s="19">
        <f t="shared" si="99"/>
        <v>6239738.4100000001</v>
      </c>
      <c r="G152" s="19">
        <f t="shared" si="100"/>
        <v>34.26</v>
      </c>
      <c r="H152" s="19">
        <f t="shared" si="101"/>
        <v>22.2</v>
      </c>
      <c r="J152" s="103"/>
    </row>
    <row r="153" spans="1:10" s="8" customFormat="1" ht="46.95" customHeight="1" x14ac:dyDescent="0.3">
      <c r="A153" s="20" t="s">
        <v>300</v>
      </c>
      <c r="B153" s="4" t="s">
        <v>204</v>
      </c>
      <c r="C153" s="21">
        <f>555340</f>
        <v>555340</v>
      </c>
      <c r="D153" s="21">
        <f t="shared" ref="D153" si="111">555340+1098120</f>
        <v>1653460</v>
      </c>
      <c r="E153" s="21">
        <v>0</v>
      </c>
      <c r="F153" s="21">
        <f t="shared" si="99"/>
        <v>1653460</v>
      </c>
      <c r="G153" s="21">
        <f t="shared" si="100"/>
        <v>0</v>
      </c>
      <c r="H153" s="21">
        <f t="shared" si="101"/>
        <v>0</v>
      </c>
      <c r="J153" s="103"/>
    </row>
    <row r="154" spans="1:10" s="8" customFormat="1" ht="31.2" customHeight="1" x14ac:dyDescent="0.3">
      <c r="A154" s="20" t="s">
        <v>506</v>
      </c>
      <c r="B154" s="4" t="s">
        <v>505</v>
      </c>
      <c r="C154" s="21">
        <v>0</v>
      </c>
      <c r="D154" s="21">
        <f t="shared" ref="D154" si="112">0+1616915</f>
        <v>1616915</v>
      </c>
      <c r="E154" s="21">
        <v>0</v>
      </c>
      <c r="F154" s="21">
        <f t="shared" si="99"/>
        <v>1616915</v>
      </c>
      <c r="G154" s="21" t="s">
        <v>540</v>
      </c>
      <c r="H154" s="21">
        <f t="shared" si="101"/>
        <v>0</v>
      </c>
      <c r="J154" s="103"/>
    </row>
    <row r="155" spans="1:10" s="8" customFormat="1" ht="31.2" customHeight="1" x14ac:dyDescent="0.3">
      <c r="A155" s="20" t="s">
        <v>244</v>
      </c>
      <c r="B155" s="4" t="s">
        <v>314</v>
      </c>
      <c r="C155" s="21">
        <v>4641962</v>
      </c>
      <c r="D155" s="21">
        <v>4641962</v>
      </c>
      <c r="E155" s="21">
        <v>1780373.59</v>
      </c>
      <c r="F155" s="21">
        <f t="shared" si="99"/>
        <v>2861588.41</v>
      </c>
      <c r="G155" s="21">
        <f t="shared" si="100"/>
        <v>38.35</v>
      </c>
      <c r="H155" s="21">
        <f t="shared" si="101"/>
        <v>38.35</v>
      </c>
      <c r="J155" s="103"/>
    </row>
    <row r="156" spans="1:10" s="8" customFormat="1" ht="46.95" customHeight="1" x14ac:dyDescent="0.3">
      <c r="A156" s="20" t="s">
        <v>320</v>
      </c>
      <c r="B156" s="4" t="s">
        <v>319</v>
      </c>
      <c r="C156" s="21">
        <v>0</v>
      </c>
      <c r="D156" s="21">
        <f t="shared" ref="D156" si="113">0+107775</f>
        <v>107775</v>
      </c>
      <c r="E156" s="21">
        <v>0</v>
      </c>
      <c r="F156" s="21">
        <f t="shared" si="99"/>
        <v>107775</v>
      </c>
      <c r="G156" s="21" t="s">
        <v>540</v>
      </c>
      <c r="H156" s="21">
        <f t="shared" si="101"/>
        <v>0</v>
      </c>
      <c r="J156" s="103"/>
    </row>
    <row r="157" spans="1:10" s="8" customFormat="1" ht="46.95" customHeight="1" x14ac:dyDescent="0.3">
      <c r="A157" s="14" t="s">
        <v>230</v>
      </c>
      <c r="B157" s="16" t="s">
        <v>8</v>
      </c>
      <c r="C157" s="19">
        <f>C158</f>
        <v>23488722.449999999</v>
      </c>
      <c r="D157" s="19">
        <f t="shared" ref="D157:E157" si="114">D158</f>
        <v>21948722.449999999</v>
      </c>
      <c r="E157" s="19">
        <f t="shared" si="114"/>
        <v>3767446.56</v>
      </c>
      <c r="F157" s="19">
        <f t="shared" si="99"/>
        <v>18181275.890000001</v>
      </c>
      <c r="G157" s="19">
        <f t="shared" si="100"/>
        <v>16.04</v>
      </c>
      <c r="H157" s="19">
        <f t="shared" si="101"/>
        <v>17.16</v>
      </c>
      <c r="J157" s="103"/>
    </row>
    <row r="158" spans="1:10" s="8" customFormat="1" ht="31.2" customHeight="1" x14ac:dyDescent="0.3">
      <c r="A158" s="55" t="s">
        <v>231</v>
      </c>
      <c r="B158" s="16" t="s">
        <v>9</v>
      </c>
      <c r="C158" s="19">
        <f>C159+C167</f>
        <v>23488722.449999999</v>
      </c>
      <c r="D158" s="19">
        <f t="shared" ref="D158:E158" si="115">D159+D167</f>
        <v>21948722.449999999</v>
      </c>
      <c r="E158" s="19">
        <f t="shared" si="115"/>
        <v>3767446.56</v>
      </c>
      <c r="F158" s="19">
        <f t="shared" si="99"/>
        <v>18181275.890000001</v>
      </c>
      <c r="G158" s="19">
        <f t="shared" si="100"/>
        <v>16.04</v>
      </c>
      <c r="H158" s="19">
        <f t="shared" si="101"/>
        <v>17.16</v>
      </c>
      <c r="J158" s="103"/>
    </row>
    <row r="159" spans="1:10" s="8" customFormat="1" ht="46.95" customHeight="1" x14ac:dyDescent="0.3">
      <c r="A159" s="55" t="s">
        <v>350</v>
      </c>
      <c r="B159" s="16" t="s">
        <v>235</v>
      </c>
      <c r="C159" s="19">
        <f>C160+C161+C162+C163+C164+C165+C166</f>
        <v>23488722.449999999</v>
      </c>
      <c r="D159" s="19">
        <f t="shared" ref="D159:E159" si="116">D160+D161+D162+D163+D164+D165+D166</f>
        <v>21948722.449999999</v>
      </c>
      <c r="E159" s="19">
        <f t="shared" si="116"/>
        <v>3767446.56</v>
      </c>
      <c r="F159" s="19">
        <f t="shared" si="99"/>
        <v>18181275.890000001</v>
      </c>
      <c r="G159" s="19">
        <f t="shared" si="100"/>
        <v>16.04</v>
      </c>
      <c r="H159" s="19">
        <f t="shared" si="101"/>
        <v>17.16</v>
      </c>
      <c r="J159" s="103"/>
    </row>
    <row r="160" spans="1:10" s="8" customFormat="1" ht="78" customHeight="1" x14ac:dyDescent="0.3">
      <c r="A160" s="56" t="s">
        <v>38</v>
      </c>
      <c r="B160" s="30" t="s">
        <v>234</v>
      </c>
      <c r="C160" s="11">
        <v>3500000</v>
      </c>
      <c r="D160" s="11">
        <v>3500000</v>
      </c>
      <c r="E160" s="11">
        <v>338066</v>
      </c>
      <c r="F160" s="11">
        <f t="shared" si="99"/>
        <v>3161934</v>
      </c>
      <c r="G160" s="11">
        <f t="shared" si="100"/>
        <v>9.66</v>
      </c>
      <c r="H160" s="11">
        <f t="shared" si="101"/>
        <v>9.66</v>
      </c>
      <c r="J160" s="103"/>
    </row>
    <row r="161" spans="1:10" s="12" customFormat="1" ht="31.2" customHeight="1" x14ac:dyDescent="0.3">
      <c r="A161" s="56" t="s">
        <v>39</v>
      </c>
      <c r="B161" s="30" t="s">
        <v>233</v>
      </c>
      <c r="C161" s="11">
        <v>2515800</v>
      </c>
      <c r="D161" s="11">
        <v>2515800</v>
      </c>
      <c r="E161" s="11">
        <v>221484.42</v>
      </c>
      <c r="F161" s="11">
        <f t="shared" si="99"/>
        <v>2294315.58</v>
      </c>
      <c r="G161" s="11">
        <f t="shared" si="100"/>
        <v>8.8000000000000007</v>
      </c>
      <c r="H161" s="11">
        <f t="shared" si="101"/>
        <v>8.8000000000000007</v>
      </c>
      <c r="J161" s="103"/>
    </row>
    <row r="162" spans="1:10" s="12" customFormat="1" ht="46.95" customHeight="1" x14ac:dyDescent="0.3">
      <c r="A162" s="20" t="s">
        <v>45</v>
      </c>
      <c r="B162" s="30" t="s">
        <v>236</v>
      </c>
      <c r="C162" s="11">
        <v>15642170</v>
      </c>
      <c r="D162" s="11">
        <v>15642170</v>
      </c>
      <c r="E162" s="11">
        <v>3204659.56</v>
      </c>
      <c r="F162" s="11">
        <f t="shared" si="99"/>
        <v>12437510.439999999</v>
      </c>
      <c r="G162" s="11">
        <f t="shared" si="100"/>
        <v>20.49</v>
      </c>
      <c r="H162" s="11">
        <f t="shared" si="101"/>
        <v>20.49</v>
      </c>
      <c r="J162" s="103"/>
    </row>
    <row r="163" spans="1:10" s="8" customFormat="1" ht="46.95" customHeight="1" x14ac:dyDescent="0.3">
      <c r="A163" s="24" t="s">
        <v>109</v>
      </c>
      <c r="B163" s="35" t="s">
        <v>232</v>
      </c>
      <c r="C163" s="21">
        <v>276214.83</v>
      </c>
      <c r="D163" s="21">
        <v>276214.83</v>
      </c>
      <c r="E163" s="21">
        <v>0</v>
      </c>
      <c r="F163" s="21">
        <f t="shared" si="99"/>
        <v>276214.83</v>
      </c>
      <c r="G163" s="21">
        <f t="shared" si="100"/>
        <v>0</v>
      </c>
      <c r="H163" s="21">
        <f t="shared" si="101"/>
        <v>0</v>
      </c>
      <c r="J163" s="103"/>
    </row>
    <row r="164" spans="1:10" s="8" customFormat="1" ht="31.2" customHeight="1" x14ac:dyDescent="0.3">
      <c r="A164" s="24" t="s">
        <v>122</v>
      </c>
      <c r="B164" s="35" t="s">
        <v>232</v>
      </c>
      <c r="C164" s="21">
        <v>14537.62</v>
      </c>
      <c r="D164" s="21">
        <v>14537.62</v>
      </c>
      <c r="E164" s="21">
        <v>3236.58</v>
      </c>
      <c r="F164" s="21">
        <f t="shared" si="99"/>
        <v>11301.04</v>
      </c>
      <c r="G164" s="21">
        <f t="shared" si="100"/>
        <v>22.26</v>
      </c>
      <c r="H164" s="21">
        <f t="shared" si="101"/>
        <v>22.26</v>
      </c>
      <c r="J164" s="103"/>
    </row>
    <row r="165" spans="1:10" s="8" customFormat="1" ht="46.8" x14ac:dyDescent="0.3">
      <c r="A165" s="24" t="s">
        <v>437</v>
      </c>
      <c r="B165" s="35" t="s">
        <v>370</v>
      </c>
      <c r="C165" s="21">
        <f>1463000</f>
        <v>1463000</v>
      </c>
      <c r="D165" s="21">
        <f t="shared" ref="D165:E165" si="117">1463000-1463000</f>
        <v>0</v>
      </c>
      <c r="E165" s="21">
        <f t="shared" si="117"/>
        <v>0</v>
      </c>
      <c r="F165" s="21">
        <f t="shared" si="99"/>
        <v>0</v>
      </c>
      <c r="G165" s="21">
        <f t="shared" si="100"/>
        <v>0</v>
      </c>
      <c r="H165" s="21" t="s">
        <v>540</v>
      </c>
      <c r="J165" s="103"/>
    </row>
    <row r="166" spans="1:10" s="8" customFormat="1" ht="46.8" x14ac:dyDescent="0.3">
      <c r="A166" s="24" t="s">
        <v>371</v>
      </c>
      <c r="B166" s="35" t="s">
        <v>370</v>
      </c>
      <c r="C166" s="21">
        <f>77000</f>
        <v>77000</v>
      </c>
      <c r="D166" s="21">
        <f t="shared" ref="D166:E166" si="118">77000-77000</f>
        <v>0</v>
      </c>
      <c r="E166" s="21">
        <f t="shared" si="118"/>
        <v>0</v>
      </c>
      <c r="F166" s="21">
        <f t="shared" si="99"/>
        <v>0</v>
      </c>
      <c r="G166" s="21">
        <f t="shared" si="100"/>
        <v>0</v>
      </c>
      <c r="H166" s="21" t="s">
        <v>540</v>
      </c>
      <c r="J166" s="103"/>
    </row>
    <row r="167" spans="1:10" s="8" customFormat="1" ht="93.6" customHeight="1" x14ac:dyDescent="0.3">
      <c r="A167" s="23" t="s">
        <v>351</v>
      </c>
      <c r="B167" s="16" t="s">
        <v>352</v>
      </c>
      <c r="C167" s="19">
        <f>C168</f>
        <v>0</v>
      </c>
      <c r="D167" s="19">
        <f t="shared" ref="D167:E167" si="119">D168</f>
        <v>0</v>
      </c>
      <c r="E167" s="19">
        <f t="shared" si="119"/>
        <v>0</v>
      </c>
      <c r="F167" s="19">
        <f t="shared" si="99"/>
        <v>0</v>
      </c>
      <c r="G167" s="19" t="s">
        <v>540</v>
      </c>
      <c r="H167" s="19" t="s">
        <v>540</v>
      </c>
      <c r="J167" s="103"/>
    </row>
    <row r="168" spans="1:10" s="8" customFormat="1" ht="97.2" customHeight="1" x14ac:dyDescent="0.3">
      <c r="A168" s="56" t="s">
        <v>483</v>
      </c>
      <c r="B168" s="30" t="s">
        <v>353</v>
      </c>
      <c r="C168" s="11">
        <f>1235430-1235430</f>
        <v>0</v>
      </c>
      <c r="D168" s="11">
        <f t="shared" ref="D168:E168" si="120">1235430-1235430</f>
        <v>0</v>
      </c>
      <c r="E168" s="11">
        <f t="shared" si="120"/>
        <v>0</v>
      </c>
      <c r="F168" s="11">
        <f t="shared" si="99"/>
        <v>0</v>
      </c>
      <c r="G168" s="11" t="s">
        <v>540</v>
      </c>
      <c r="H168" s="11" t="s">
        <v>540</v>
      </c>
      <c r="J168" s="103"/>
    </row>
    <row r="169" spans="1:10" s="8" customFormat="1" ht="46.95" customHeight="1" x14ac:dyDescent="0.3">
      <c r="A169" s="14" t="s">
        <v>237</v>
      </c>
      <c r="B169" s="57" t="s">
        <v>52</v>
      </c>
      <c r="C169" s="19">
        <f>C170+C173</f>
        <v>7500036.5</v>
      </c>
      <c r="D169" s="19">
        <f t="shared" ref="D169:E169" si="121">D170+D173</f>
        <v>10554631.5</v>
      </c>
      <c r="E169" s="19">
        <f t="shared" si="121"/>
        <v>1940572.6</v>
      </c>
      <c r="F169" s="19">
        <f t="shared" si="99"/>
        <v>8614058.9000000004</v>
      </c>
      <c r="G169" s="19">
        <f t="shared" si="100"/>
        <v>25.87</v>
      </c>
      <c r="H169" s="19">
        <f t="shared" si="101"/>
        <v>18.39</v>
      </c>
      <c r="J169" s="103"/>
    </row>
    <row r="170" spans="1:10" s="8" customFormat="1" ht="31.2" customHeight="1" x14ac:dyDescent="0.3">
      <c r="A170" s="55" t="s">
        <v>245</v>
      </c>
      <c r="B170" s="6" t="s">
        <v>53</v>
      </c>
      <c r="C170" s="58">
        <f>C171</f>
        <v>846174</v>
      </c>
      <c r="D170" s="58">
        <f t="shared" ref="D170:E171" si="122">D171</f>
        <v>3900769</v>
      </c>
      <c r="E170" s="58">
        <f t="shared" si="122"/>
        <v>267630</v>
      </c>
      <c r="F170" s="58">
        <f t="shared" si="99"/>
        <v>3633139</v>
      </c>
      <c r="G170" s="58">
        <f t="shared" si="100"/>
        <v>31.63</v>
      </c>
      <c r="H170" s="58">
        <f t="shared" si="101"/>
        <v>6.86</v>
      </c>
      <c r="J170" s="103"/>
    </row>
    <row r="171" spans="1:10" s="8" customFormat="1" ht="31.2" customHeight="1" x14ac:dyDescent="0.3">
      <c r="A171" s="48" t="s">
        <v>246</v>
      </c>
      <c r="B171" s="6" t="s">
        <v>247</v>
      </c>
      <c r="C171" s="7">
        <f>C172</f>
        <v>846174</v>
      </c>
      <c r="D171" s="7">
        <f t="shared" si="122"/>
        <v>3900769</v>
      </c>
      <c r="E171" s="7">
        <f t="shared" si="122"/>
        <v>267630</v>
      </c>
      <c r="F171" s="7">
        <f t="shared" si="99"/>
        <v>3633139</v>
      </c>
      <c r="G171" s="7">
        <f t="shared" si="100"/>
        <v>31.63</v>
      </c>
      <c r="H171" s="7">
        <f t="shared" si="101"/>
        <v>6.86</v>
      </c>
      <c r="J171" s="103"/>
    </row>
    <row r="172" spans="1:10" s="12" customFormat="1" ht="15.6" customHeight="1" x14ac:dyDescent="0.3">
      <c r="A172" s="10" t="s">
        <v>248</v>
      </c>
      <c r="B172" s="4" t="s">
        <v>249</v>
      </c>
      <c r="C172" s="11">
        <f>846174</f>
        <v>846174</v>
      </c>
      <c r="D172" s="11">
        <f t="shared" ref="D172" si="123">846174+3054595</f>
        <v>3900769</v>
      </c>
      <c r="E172" s="11">
        <v>267630</v>
      </c>
      <c r="F172" s="11">
        <f t="shared" si="99"/>
        <v>3633139</v>
      </c>
      <c r="G172" s="11">
        <f t="shared" si="100"/>
        <v>31.63</v>
      </c>
      <c r="H172" s="11">
        <f t="shared" si="101"/>
        <v>6.86</v>
      </c>
      <c r="J172" s="103"/>
    </row>
    <row r="173" spans="1:10" s="8" customFormat="1" ht="15.6" customHeight="1" x14ac:dyDescent="0.3">
      <c r="A173" s="48" t="s">
        <v>238</v>
      </c>
      <c r="B173" s="6" t="s">
        <v>54</v>
      </c>
      <c r="C173" s="7">
        <f>C174</f>
        <v>6653862.5</v>
      </c>
      <c r="D173" s="7">
        <f t="shared" ref="D173:E173" si="124">D174</f>
        <v>6653862.5</v>
      </c>
      <c r="E173" s="7">
        <f t="shared" si="124"/>
        <v>1672942.6</v>
      </c>
      <c r="F173" s="7">
        <f t="shared" si="99"/>
        <v>4980919.9000000004</v>
      </c>
      <c r="G173" s="7">
        <f t="shared" si="100"/>
        <v>25.14</v>
      </c>
      <c r="H173" s="7">
        <f t="shared" si="101"/>
        <v>25.14</v>
      </c>
      <c r="J173" s="103"/>
    </row>
    <row r="174" spans="1:10" s="8" customFormat="1" ht="31.2" customHeight="1" x14ac:dyDescent="0.3">
      <c r="A174" s="48" t="s">
        <v>240</v>
      </c>
      <c r="B174" s="6" t="s">
        <v>239</v>
      </c>
      <c r="C174" s="7">
        <f>C175+C176+C177</f>
        <v>6653862.5</v>
      </c>
      <c r="D174" s="7">
        <f t="shared" ref="D174:E174" si="125">D175+D176+D177</f>
        <v>6653862.5</v>
      </c>
      <c r="E174" s="7">
        <f t="shared" si="125"/>
        <v>1672942.6</v>
      </c>
      <c r="F174" s="7">
        <f t="shared" si="99"/>
        <v>4980919.9000000004</v>
      </c>
      <c r="G174" s="7">
        <f t="shared" si="100"/>
        <v>25.14</v>
      </c>
      <c r="H174" s="7">
        <f t="shared" si="101"/>
        <v>25.14</v>
      </c>
      <c r="J174" s="103"/>
    </row>
    <row r="175" spans="1:10" s="12" customFormat="1" ht="62.4" customHeight="1" x14ac:dyDescent="0.3">
      <c r="A175" s="10" t="s">
        <v>253</v>
      </c>
      <c r="B175" s="4" t="s">
        <v>252</v>
      </c>
      <c r="C175" s="11">
        <v>3900</v>
      </c>
      <c r="D175" s="11">
        <v>3900</v>
      </c>
      <c r="E175" s="11">
        <v>0</v>
      </c>
      <c r="F175" s="11">
        <f t="shared" si="99"/>
        <v>3900</v>
      </c>
      <c r="G175" s="11">
        <f t="shared" si="100"/>
        <v>0</v>
      </c>
      <c r="H175" s="11">
        <f t="shared" si="101"/>
        <v>0</v>
      </c>
      <c r="J175" s="103"/>
    </row>
    <row r="176" spans="1:10" s="12" customFormat="1" ht="46.95" customHeight="1" x14ac:dyDescent="0.3">
      <c r="A176" s="10" t="s">
        <v>250</v>
      </c>
      <c r="B176" s="4" t="s">
        <v>251</v>
      </c>
      <c r="C176" s="11">
        <v>100000</v>
      </c>
      <c r="D176" s="11">
        <v>100000</v>
      </c>
      <c r="E176" s="11">
        <v>35452</v>
      </c>
      <c r="F176" s="11">
        <f t="shared" si="99"/>
        <v>64548</v>
      </c>
      <c r="G176" s="11">
        <f t="shared" si="100"/>
        <v>35.450000000000003</v>
      </c>
      <c r="H176" s="11">
        <f t="shared" si="101"/>
        <v>35.450000000000003</v>
      </c>
      <c r="J176" s="103"/>
    </row>
    <row r="177" spans="1:10" s="12" customFormat="1" ht="46.95" customHeight="1" x14ac:dyDescent="0.3">
      <c r="A177" s="20" t="s">
        <v>241</v>
      </c>
      <c r="B177" s="4" t="s">
        <v>242</v>
      </c>
      <c r="C177" s="11">
        <v>6549962.5</v>
      </c>
      <c r="D177" s="11">
        <v>6549962.5</v>
      </c>
      <c r="E177" s="11">
        <v>1637490.6</v>
      </c>
      <c r="F177" s="11">
        <f t="shared" si="99"/>
        <v>4912471.9000000004</v>
      </c>
      <c r="G177" s="11">
        <f t="shared" si="100"/>
        <v>25</v>
      </c>
      <c r="H177" s="11">
        <f t="shared" si="101"/>
        <v>25</v>
      </c>
      <c r="J177" s="103"/>
    </row>
    <row r="178" spans="1:10" s="8" customFormat="1" ht="46.95" customHeight="1" x14ac:dyDescent="0.3">
      <c r="A178" s="14" t="s">
        <v>206</v>
      </c>
      <c r="B178" s="16" t="s">
        <v>57</v>
      </c>
      <c r="C178" s="19">
        <f>C179+C186</f>
        <v>185376000</v>
      </c>
      <c r="D178" s="19">
        <f t="shared" ref="D178:E178" si="126">D179+D186</f>
        <v>185376000</v>
      </c>
      <c r="E178" s="19">
        <f t="shared" si="126"/>
        <v>42970304.75</v>
      </c>
      <c r="F178" s="19">
        <f t="shared" si="99"/>
        <v>142405695.25</v>
      </c>
      <c r="G178" s="19">
        <f t="shared" si="100"/>
        <v>23.18</v>
      </c>
      <c r="H178" s="19">
        <f t="shared" si="101"/>
        <v>23.18</v>
      </c>
      <c r="J178" s="103"/>
    </row>
    <row r="179" spans="1:10" s="8" customFormat="1" ht="31.2" customHeight="1" x14ac:dyDescent="0.3">
      <c r="A179" s="55" t="s">
        <v>207</v>
      </c>
      <c r="B179" s="6" t="s">
        <v>58</v>
      </c>
      <c r="C179" s="19">
        <f>C180</f>
        <v>28710000</v>
      </c>
      <c r="D179" s="19">
        <f t="shared" ref="D179:E179" si="127">D180</f>
        <v>28710000</v>
      </c>
      <c r="E179" s="19">
        <f t="shared" si="127"/>
        <v>2185075</v>
      </c>
      <c r="F179" s="19">
        <f t="shared" si="99"/>
        <v>26524925</v>
      </c>
      <c r="G179" s="19">
        <f t="shared" si="100"/>
        <v>7.61</v>
      </c>
      <c r="H179" s="19">
        <f t="shared" si="101"/>
        <v>7.61</v>
      </c>
      <c r="J179" s="103"/>
    </row>
    <row r="180" spans="1:10" s="8" customFormat="1" ht="46.95" customHeight="1" x14ac:dyDescent="0.3">
      <c r="A180" s="55" t="s">
        <v>208</v>
      </c>
      <c r="B180" s="6" t="s">
        <v>156</v>
      </c>
      <c r="C180" s="19">
        <f>C181+C182+C183+C184+C185</f>
        <v>28710000</v>
      </c>
      <c r="D180" s="19">
        <f t="shared" ref="D180:E180" si="128">D181+D182+D183+D184+D185</f>
        <v>28710000</v>
      </c>
      <c r="E180" s="19">
        <f t="shared" si="128"/>
        <v>2185075</v>
      </c>
      <c r="F180" s="19">
        <f t="shared" si="99"/>
        <v>26524925</v>
      </c>
      <c r="G180" s="19">
        <f t="shared" si="100"/>
        <v>7.61</v>
      </c>
      <c r="H180" s="19">
        <f t="shared" si="101"/>
        <v>7.61</v>
      </c>
      <c r="J180" s="103"/>
    </row>
    <row r="181" spans="1:10" s="8" customFormat="1" ht="78" customHeight="1" x14ac:dyDescent="0.3">
      <c r="A181" s="56" t="s">
        <v>373</v>
      </c>
      <c r="B181" s="4" t="s">
        <v>372</v>
      </c>
      <c r="C181" s="11">
        <v>1020000</v>
      </c>
      <c r="D181" s="11">
        <v>1020000</v>
      </c>
      <c r="E181" s="11">
        <v>0</v>
      </c>
      <c r="F181" s="11">
        <f t="shared" si="99"/>
        <v>1020000</v>
      </c>
      <c r="G181" s="11">
        <f t="shared" si="100"/>
        <v>0</v>
      </c>
      <c r="H181" s="11">
        <f t="shared" si="101"/>
        <v>0</v>
      </c>
      <c r="J181" s="103"/>
    </row>
    <row r="182" spans="1:10" s="8" customFormat="1" ht="62.4" customHeight="1" x14ac:dyDescent="0.3">
      <c r="A182" s="56" t="s">
        <v>123</v>
      </c>
      <c r="B182" s="4" t="s">
        <v>124</v>
      </c>
      <c r="C182" s="11">
        <v>9552000</v>
      </c>
      <c r="D182" s="11">
        <v>9552000</v>
      </c>
      <c r="E182" s="11">
        <v>1748060</v>
      </c>
      <c r="F182" s="11">
        <f t="shared" si="99"/>
        <v>7803940</v>
      </c>
      <c r="G182" s="11">
        <f t="shared" si="100"/>
        <v>18.3</v>
      </c>
      <c r="H182" s="11">
        <f t="shared" si="101"/>
        <v>18.3</v>
      </c>
      <c r="J182" s="103"/>
    </row>
    <row r="183" spans="1:10" s="8" customFormat="1" ht="46.95" customHeight="1" x14ac:dyDescent="0.3">
      <c r="A183" s="56" t="s">
        <v>125</v>
      </c>
      <c r="B183" s="4" t="s">
        <v>124</v>
      </c>
      <c r="C183" s="11">
        <v>2388000</v>
      </c>
      <c r="D183" s="11">
        <v>2388000</v>
      </c>
      <c r="E183" s="11">
        <v>437015</v>
      </c>
      <c r="F183" s="11">
        <f t="shared" si="99"/>
        <v>1950985</v>
      </c>
      <c r="G183" s="11">
        <f t="shared" si="100"/>
        <v>18.3</v>
      </c>
      <c r="H183" s="11">
        <f t="shared" si="101"/>
        <v>18.3</v>
      </c>
      <c r="J183" s="103"/>
    </row>
    <row r="184" spans="1:10" s="8" customFormat="1" ht="62.4" customHeight="1" x14ac:dyDescent="0.3">
      <c r="A184" s="56" t="s">
        <v>375</v>
      </c>
      <c r="B184" s="4" t="s">
        <v>374</v>
      </c>
      <c r="C184" s="11">
        <v>12600000</v>
      </c>
      <c r="D184" s="11">
        <v>12600000</v>
      </c>
      <c r="E184" s="11">
        <v>0</v>
      </c>
      <c r="F184" s="11">
        <f t="shared" si="99"/>
        <v>12600000</v>
      </c>
      <c r="G184" s="11">
        <f t="shared" si="100"/>
        <v>0</v>
      </c>
      <c r="H184" s="11">
        <f t="shared" si="101"/>
        <v>0</v>
      </c>
      <c r="J184" s="103"/>
    </row>
    <row r="185" spans="1:10" s="8" customFormat="1" ht="46.95" customHeight="1" x14ac:dyDescent="0.3">
      <c r="A185" s="56" t="s">
        <v>376</v>
      </c>
      <c r="B185" s="4" t="s">
        <v>374</v>
      </c>
      <c r="C185" s="11">
        <v>3150000</v>
      </c>
      <c r="D185" s="11">
        <v>3150000</v>
      </c>
      <c r="E185" s="11">
        <v>0</v>
      </c>
      <c r="F185" s="11">
        <f t="shared" si="99"/>
        <v>3150000</v>
      </c>
      <c r="G185" s="11">
        <f t="shared" si="100"/>
        <v>0</v>
      </c>
      <c r="H185" s="11">
        <f t="shared" si="101"/>
        <v>0</v>
      </c>
      <c r="J185" s="103"/>
    </row>
    <row r="186" spans="1:10" s="8" customFormat="1" ht="31.2" customHeight="1" x14ac:dyDescent="0.3">
      <c r="A186" s="9" t="s">
        <v>209</v>
      </c>
      <c r="B186" s="16" t="s">
        <v>59</v>
      </c>
      <c r="C186" s="19">
        <f>C187+C190</f>
        <v>156666000</v>
      </c>
      <c r="D186" s="19">
        <f t="shared" ref="D186:E186" si="129">D187+D190</f>
        <v>156666000</v>
      </c>
      <c r="E186" s="19">
        <f t="shared" si="129"/>
        <v>40785229.75</v>
      </c>
      <c r="F186" s="19">
        <f t="shared" si="99"/>
        <v>115880770.25</v>
      </c>
      <c r="G186" s="19">
        <f t="shared" si="100"/>
        <v>26.03</v>
      </c>
      <c r="H186" s="19">
        <f t="shared" si="101"/>
        <v>26.03</v>
      </c>
      <c r="J186" s="103"/>
    </row>
    <row r="187" spans="1:10" s="8" customFormat="1" ht="31.2" customHeight="1" x14ac:dyDescent="0.3">
      <c r="A187" s="55" t="s">
        <v>210</v>
      </c>
      <c r="B187" s="38" t="s">
        <v>68</v>
      </c>
      <c r="C187" s="19">
        <f>C188+C189</f>
        <v>36666000</v>
      </c>
      <c r="D187" s="19">
        <f t="shared" ref="D187:E187" si="130">D188+D189</f>
        <v>36666000</v>
      </c>
      <c r="E187" s="19">
        <f t="shared" si="130"/>
        <v>6186885.5300000003</v>
      </c>
      <c r="F187" s="19">
        <f t="shared" si="99"/>
        <v>30479114.469999999</v>
      </c>
      <c r="G187" s="19">
        <f t="shared" si="100"/>
        <v>16.87</v>
      </c>
      <c r="H187" s="19">
        <f t="shared" si="101"/>
        <v>16.87</v>
      </c>
      <c r="J187" s="103"/>
    </row>
    <row r="188" spans="1:10" s="8" customFormat="1" ht="31.2" customHeight="1" x14ac:dyDescent="0.3">
      <c r="A188" s="20" t="s">
        <v>212</v>
      </c>
      <c r="B188" s="5" t="s">
        <v>377</v>
      </c>
      <c r="C188" s="11">
        <v>23084300</v>
      </c>
      <c r="D188" s="11">
        <v>23084300</v>
      </c>
      <c r="E188" s="11">
        <v>6186885.5300000003</v>
      </c>
      <c r="F188" s="11">
        <f t="shared" si="99"/>
        <v>16897414.469999999</v>
      </c>
      <c r="G188" s="11">
        <f t="shared" si="100"/>
        <v>26.8</v>
      </c>
      <c r="H188" s="11">
        <f t="shared" si="101"/>
        <v>26.8</v>
      </c>
      <c r="J188" s="103"/>
    </row>
    <row r="189" spans="1:10" s="8" customFormat="1" ht="31.2" customHeight="1" x14ac:dyDescent="0.3">
      <c r="A189" s="41" t="s">
        <v>211</v>
      </c>
      <c r="B189" s="26" t="s">
        <v>378</v>
      </c>
      <c r="C189" s="11">
        <v>13581700</v>
      </c>
      <c r="D189" s="11">
        <v>13581700</v>
      </c>
      <c r="E189" s="11">
        <v>0</v>
      </c>
      <c r="F189" s="11">
        <f t="shared" si="99"/>
        <v>13581700</v>
      </c>
      <c r="G189" s="11">
        <f t="shared" si="100"/>
        <v>0</v>
      </c>
      <c r="H189" s="11">
        <f t="shared" si="101"/>
        <v>0</v>
      </c>
      <c r="J189" s="103"/>
    </row>
    <row r="190" spans="1:10" s="8" customFormat="1" ht="31.2" customHeight="1" x14ac:dyDescent="0.3">
      <c r="A190" s="29" t="s">
        <v>144</v>
      </c>
      <c r="B190" s="59" t="s">
        <v>507</v>
      </c>
      <c r="C190" s="19">
        <f>C191+C192</f>
        <v>120000000</v>
      </c>
      <c r="D190" s="19">
        <f t="shared" ref="D190:E190" si="131">D191+D192</f>
        <v>120000000</v>
      </c>
      <c r="E190" s="19">
        <f t="shared" si="131"/>
        <v>34598344.219999999</v>
      </c>
      <c r="F190" s="19">
        <f t="shared" si="99"/>
        <v>85401655.780000001</v>
      </c>
      <c r="G190" s="19">
        <f t="shared" si="100"/>
        <v>28.83</v>
      </c>
      <c r="H190" s="19">
        <f t="shared" si="101"/>
        <v>28.83</v>
      </c>
      <c r="J190" s="103"/>
    </row>
    <row r="191" spans="1:10" s="12" customFormat="1" ht="46.95" customHeight="1" x14ac:dyDescent="0.3">
      <c r="A191" s="24" t="s">
        <v>509</v>
      </c>
      <c r="B191" s="35" t="s">
        <v>508</v>
      </c>
      <c r="C191" s="11">
        <v>108000000</v>
      </c>
      <c r="D191" s="11">
        <v>108000000</v>
      </c>
      <c r="E191" s="11">
        <v>31138509.800000001</v>
      </c>
      <c r="F191" s="11">
        <f t="shared" si="99"/>
        <v>76861490.200000003</v>
      </c>
      <c r="G191" s="11">
        <f t="shared" si="100"/>
        <v>28.83</v>
      </c>
      <c r="H191" s="11">
        <f t="shared" si="101"/>
        <v>28.83</v>
      </c>
      <c r="J191" s="103"/>
    </row>
    <row r="192" spans="1:10" s="12" customFormat="1" ht="46.95" customHeight="1" x14ac:dyDescent="0.3">
      <c r="A192" s="60" t="s">
        <v>510</v>
      </c>
      <c r="B192" s="35" t="s">
        <v>508</v>
      </c>
      <c r="C192" s="11">
        <v>12000000</v>
      </c>
      <c r="D192" s="11">
        <v>12000000</v>
      </c>
      <c r="E192" s="11">
        <v>3459834.42</v>
      </c>
      <c r="F192" s="11">
        <f t="shared" si="99"/>
        <v>8540165.5800000001</v>
      </c>
      <c r="G192" s="11">
        <f t="shared" si="100"/>
        <v>28.83</v>
      </c>
      <c r="H192" s="11">
        <f t="shared" si="101"/>
        <v>28.83</v>
      </c>
      <c r="J192" s="103"/>
    </row>
    <row r="193" spans="1:10" s="8" customFormat="1" ht="46.95" customHeight="1" x14ac:dyDescent="0.3">
      <c r="A193" s="14" t="s">
        <v>268</v>
      </c>
      <c r="B193" s="6" t="s">
        <v>60</v>
      </c>
      <c r="C193" s="19">
        <f>C194</f>
        <v>0</v>
      </c>
      <c r="D193" s="19">
        <f t="shared" ref="D193:E194" si="132">D194</f>
        <v>0</v>
      </c>
      <c r="E193" s="19">
        <f t="shared" si="132"/>
        <v>0</v>
      </c>
      <c r="F193" s="19">
        <f t="shared" si="99"/>
        <v>0</v>
      </c>
      <c r="G193" s="19" t="s">
        <v>540</v>
      </c>
      <c r="H193" s="19" t="s">
        <v>540</v>
      </c>
      <c r="J193" s="103"/>
    </row>
    <row r="194" spans="1:10" s="8" customFormat="1" ht="46.95" customHeight="1" x14ac:dyDescent="0.3">
      <c r="A194" s="55" t="s">
        <v>269</v>
      </c>
      <c r="B194" s="38" t="s">
        <v>61</v>
      </c>
      <c r="C194" s="19">
        <f>C195</f>
        <v>0</v>
      </c>
      <c r="D194" s="19">
        <f t="shared" si="132"/>
        <v>0</v>
      </c>
      <c r="E194" s="19">
        <f t="shared" si="132"/>
        <v>0</v>
      </c>
      <c r="F194" s="19">
        <f t="shared" si="99"/>
        <v>0</v>
      </c>
      <c r="G194" s="19" t="s">
        <v>540</v>
      </c>
      <c r="H194" s="19" t="s">
        <v>540</v>
      </c>
      <c r="J194" s="103"/>
    </row>
    <row r="195" spans="1:10" s="8" customFormat="1" ht="31.2" customHeight="1" x14ac:dyDescent="0.3">
      <c r="A195" s="55" t="s">
        <v>282</v>
      </c>
      <c r="B195" s="38" t="s">
        <v>103</v>
      </c>
      <c r="C195" s="19">
        <f>C196+C197</f>
        <v>0</v>
      </c>
      <c r="D195" s="19">
        <f t="shared" ref="D195:E195" si="133">D196+D197</f>
        <v>0</v>
      </c>
      <c r="E195" s="19">
        <f t="shared" si="133"/>
        <v>0</v>
      </c>
      <c r="F195" s="19">
        <f t="shared" si="99"/>
        <v>0</v>
      </c>
      <c r="G195" s="19" t="s">
        <v>540</v>
      </c>
      <c r="H195" s="19" t="s">
        <v>540</v>
      </c>
      <c r="J195" s="103"/>
    </row>
    <row r="196" spans="1:10" s="12" customFormat="1" ht="46.95" customHeight="1" x14ac:dyDescent="0.3">
      <c r="A196" s="24" t="s">
        <v>322</v>
      </c>
      <c r="B196" s="22" t="s">
        <v>105</v>
      </c>
      <c r="C196" s="61">
        <v>0</v>
      </c>
      <c r="D196" s="61">
        <v>0</v>
      </c>
      <c r="E196" s="61">
        <v>0</v>
      </c>
      <c r="F196" s="61">
        <f t="shared" si="99"/>
        <v>0</v>
      </c>
      <c r="G196" s="61" t="s">
        <v>540</v>
      </c>
      <c r="H196" s="61" t="s">
        <v>540</v>
      </c>
      <c r="J196" s="103"/>
    </row>
    <row r="197" spans="1:10" s="12" customFormat="1" ht="46.95" customHeight="1" x14ac:dyDescent="0.3">
      <c r="A197" s="24" t="s">
        <v>126</v>
      </c>
      <c r="B197" s="26" t="s">
        <v>105</v>
      </c>
      <c r="C197" s="11">
        <v>0</v>
      </c>
      <c r="D197" s="11">
        <v>0</v>
      </c>
      <c r="E197" s="11">
        <v>0</v>
      </c>
      <c r="F197" s="11">
        <f t="shared" si="99"/>
        <v>0</v>
      </c>
      <c r="G197" s="11" t="s">
        <v>540</v>
      </c>
      <c r="H197" s="11" t="s">
        <v>540</v>
      </c>
      <c r="J197" s="103"/>
    </row>
    <row r="198" spans="1:10" s="8" customFormat="1" ht="46.95" customHeight="1" x14ac:dyDescent="0.3">
      <c r="A198" s="14" t="s">
        <v>332</v>
      </c>
      <c r="B198" s="6" t="s">
        <v>330</v>
      </c>
      <c r="C198" s="19">
        <f>C199</f>
        <v>1786579.27</v>
      </c>
      <c r="D198" s="19">
        <f t="shared" ref="D198:E200" si="134">D199</f>
        <v>117914.05</v>
      </c>
      <c r="E198" s="19">
        <f t="shared" si="134"/>
        <v>0</v>
      </c>
      <c r="F198" s="19">
        <f t="shared" si="99"/>
        <v>117914.05</v>
      </c>
      <c r="G198" s="19">
        <f t="shared" si="100"/>
        <v>0</v>
      </c>
      <c r="H198" s="19">
        <f t="shared" si="101"/>
        <v>0</v>
      </c>
      <c r="J198" s="103"/>
    </row>
    <row r="199" spans="1:10" s="8" customFormat="1" ht="31.2" customHeight="1" x14ac:dyDescent="0.3">
      <c r="A199" s="55" t="s">
        <v>333</v>
      </c>
      <c r="B199" s="38" t="s">
        <v>331</v>
      </c>
      <c r="C199" s="19">
        <f>C200</f>
        <v>1786579.27</v>
      </c>
      <c r="D199" s="19">
        <f t="shared" si="134"/>
        <v>117914.05</v>
      </c>
      <c r="E199" s="19">
        <f t="shared" si="134"/>
        <v>0</v>
      </c>
      <c r="F199" s="19">
        <f t="shared" si="99"/>
        <v>117914.05</v>
      </c>
      <c r="G199" s="19">
        <f t="shared" si="100"/>
        <v>0</v>
      </c>
      <c r="H199" s="19">
        <f t="shared" si="101"/>
        <v>0</v>
      </c>
      <c r="J199" s="103"/>
    </row>
    <row r="200" spans="1:10" s="8" customFormat="1" ht="46.95" customHeight="1" x14ac:dyDescent="0.3">
      <c r="A200" s="55" t="s">
        <v>334</v>
      </c>
      <c r="B200" s="38" t="s">
        <v>335</v>
      </c>
      <c r="C200" s="19">
        <f>C201</f>
        <v>1786579.27</v>
      </c>
      <c r="D200" s="19">
        <f t="shared" si="134"/>
        <v>117914.05</v>
      </c>
      <c r="E200" s="19">
        <f t="shared" si="134"/>
        <v>0</v>
      </c>
      <c r="F200" s="19">
        <f t="shared" si="99"/>
        <v>117914.05</v>
      </c>
      <c r="G200" s="19">
        <f t="shared" si="100"/>
        <v>0</v>
      </c>
      <c r="H200" s="19">
        <f t="shared" si="101"/>
        <v>0</v>
      </c>
      <c r="J200" s="103"/>
    </row>
    <row r="201" spans="1:10" s="12" customFormat="1" ht="31.2" customHeight="1" x14ac:dyDescent="0.3">
      <c r="A201" s="24" t="s">
        <v>337</v>
      </c>
      <c r="B201" s="22" t="s">
        <v>336</v>
      </c>
      <c r="C201" s="61">
        <f>1786579.27</f>
        <v>1786579.27</v>
      </c>
      <c r="D201" s="61">
        <f t="shared" ref="D201" si="135">1786579.27-1668665.22</f>
        <v>117914.05</v>
      </c>
      <c r="E201" s="61">
        <v>0</v>
      </c>
      <c r="F201" s="61">
        <f t="shared" ref="F201:F263" si="136">$D201-$E201</f>
        <v>117914.05</v>
      </c>
      <c r="G201" s="61">
        <f t="shared" ref="G201:G264" si="137">$E201/$C201*100</f>
        <v>0</v>
      </c>
      <c r="H201" s="61">
        <f t="shared" ref="H201:H264" si="138">$E201/$D201*100</f>
        <v>0</v>
      </c>
      <c r="J201" s="103"/>
    </row>
    <row r="202" spans="1:10" s="8" customFormat="1" ht="62.4" customHeight="1" x14ac:dyDescent="0.3">
      <c r="A202" s="14" t="s">
        <v>425</v>
      </c>
      <c r="B202" s="6" t="s">
        <v>379</v>
      </c>
      <c r="C202" s="19">
        <f>C203+C210</f>
        <v>700000</v>
      </c>
      <c r="D202" s="19">
        <f t="shared" ref="D202:E202" si="139">D203+D210</f>
        <v>700000</v>
      </c>
      <c r="E202" s="19">
        <f t="shared" si="139"/>
        <v>44360</v>
      </c>
      <c r="F202" s="19">
        <f t="shared" si="136"/>
        <v>655640</v>
      </c>
      <c r="G202" s="19">
        <f t="shared" si="137"/>
        <v>6.34</v>
      </c>
      <c r="H202" s="19">
        <f t="shared" si="138"/>
        <v>6.34</v>
      </c>
      <c r="J202" s="103"/>
    </row>
    <row r="203" spans="1:10" s="8" customFormat="1" ht="31.2" x14ac:dyDescent="0.3">
      <c r="A203" s="55" t="s">
        <v>381</v>
      </c>
      <c r="B203" s="38" t="s">
        <v>382</v>
      </c>
      <c r="C203" s="19">
        <f>C204+C206+C208</f>
        <v>400000</v>
      </c>
      <c r="D203" s="19">
        <f t="shared" ref="D203:E203" si="140">D204+D206+D208</f>
        <v>400000</v>
      </c>
      <c r="E203" s="19">
        <f t="shared" si="140"/>
        <v>37160</v>
      </c>
      <c r="F203" s="19">
        <f t="shared" si="136"/>
        <v>362840</v>
      </c>
      <c r="G203" s="19">
        <f t="shared" si="137"/>
        <v>9.2899999999999991</v>
      </c>
      <c r="H203" s="19">
        <f t="shared" si="138"/>
        <v>9.2899999999999991</v>
      </c>
      <c r="J203" s="103"/>
    </row>
    <row r="204" spans="1:10" s="8" customFormat="1" ht="46.95" customHeight="1" x14ac:dyDescent="0.3">
      <c r="A204" s="55" t="s">
        <v>380</v>
      </c>
      <c r="B204" s="38" t="s">
        <v>383</v>
      </c>
      <c r="C204" s="19">
        <f>C205</f>
        <v>250000</v>
      </c>
      <c r="D204" s="19">
        <f t="shared" ref="D204:E204" si="141">D205</f>
        <v>250000</v>
      </c>
      <c r="E204" s="19">
        <f t="shared" si="141"/>
        <v>20660</v>
      </c>
      <c r="F204" s="19">
        <f t="shared" si="136"/>
        <v>229340</v>
      </c>
      <c r="G204" s="19">
        <f t="shared" si="137"/>
        <v>8.26</v>
      </c>
      <c r="H204" s="19">
        <f t="shared" si="138"/>
        <v>8.26</v>
      </c>
      <c r="J204" s="103"/>
    </row>
    <row r="205" spans="1:10" s="12" customFormat="1" ht="31.2" customHeight="1" x14ac:dyDescent="0.3">
      <c r="A205" s="24" t="s">
        <v>384</v>
      </c>
      <c r="B205" s="22" t="s">
        <v>385</v>
      </c>
      <c r="C205" s="61">
        <v>250000</v>
      </c>
      <c r="D205" s="61">
        <v>250000</v>
      </c>
      <c r="E205" s="61">
        <v>20660</v>
      </c>
      <c r="F205" s="61">
        <f t="shared" si="136"/>
        <v>229340</v>
      </c>
      <c r="G205" s="61">
        <f t="shared" si="137"/>
        <v>8.26</v>
      </c>
      <c r="H205" s="61">
        <f t="shared" si="138"/>
        <v>8.26</v>
      </c>
      <c r="J205" s="103"/>
    </row>
    <row r="206" spans="1:10" s="8" customFormat="1" ht="31.2" customHeight="1" x14ac:dyDescent="0.3">
      <c r="A206" s="29" t="s">
        <v>386</v>
      </c>
      <c r="B206" s="14" t="s">
        <v>387</v>
      </c>
      <c r="C206" s="62">
        <f>C207</f>
        <v>50000</v>
      </c>
      <c r="D206" s="62">
        <f t="shared" ref="D206:E206" si="142">D207</f>
        <v>50000</v>
      </c>
      <c r="E206" s="62">
        <f t="shared" si="142"/>
        <v>0</v>
      </c>
      <c r="F206" s="62">
        <f t="shared" si="136"/>
        <v>50000</v>
      </c>
      <c r="G206" s="62">
        <f t="shared" si="137"/>
        <v>0</v>
      </c>
      <c r="H206" s="62">
        <f t="shared" si="138"/>
        <v>0</v>
      </c>
      <c r="J206" s="103"/>
    </row>
    <row r="207" spans="1:10" s="12" customFormat="1" ht="31.2" customHeight="1" x14ac:dyDescent="0.3">
      <c r="A207" s="24" t="s">
        <v>388</v>
      </c>
      <c r="B207" s="22" t="s">
        <v>389</v>
      </c>
      <c r="C207" s="61">
        <v>50000</v>
      </c>
      <c r="D207" s="61">
        <v>50000</v>
      </c>
      <c r="E207" s="61">
        <v>0</v>
      </c>
      <c r="F207" s="61">
        <f t="shared" si="136"/>
        <v>50000</v>
      </c>
      <c r="G207" s="61">
        <f t="shared" si="137"/>
        <v>0</v>
      </c>
      <c r="H207" s="61">
        <f t="shared" si="138"/>
        <v>0</v>
      </c>
      <c r="J207" s="103"/>
    </row>
    <row r="208" spans="1:10" s="8" customFormat="1" ht="31.2" customHeight="1" x14ac:dyDescent="0.3">
      <c r="A208" s="29" t="s">
        <v>439</v>
      </c>
      <c r="B208" s="14" t="s">
        <v>390</v>
      </c>
      <c r="C208" s="62">
        <f>C209</f>
        <v>100000</v>
      </c>
      <c r="D208" s="62">
        <f t="shared" ref="D208:E208" si="143">D209</f>
        <v>100000</v>
      </c>
      <c r="E208" s="62">
        <f t="shared" si="143"/>
        <v>16500</v>
      </c>
      <c r="F208" s="62">
        <f t="shared" si="136"/>
        <v>83500</v>
      </c>
      <c r="G208" s="62">
        <f t="shared" si="137"/>
        <v>16.5</v>
      </c>
      <c r="H208" s="62">
        <f t="shared" si="138"/>
        <v>16.5</v>
      </c>
      <c r="J208" s="103"/>
    </row>
    <row r="209" spans="1:10" s="12" customFormat="1" ht="31.2" customHeight="1" x14ac:dyDescent="0.3">
      <c r="A209" s="24" t="s">
        <v>438</v>
      </c>
      <c r="B209" s="22" t="s">
        <v>391</v>
      </c>
      <c r="C209" s="61">
        <v>100000</v>
      </c>
      <c r="D209" s="61">
        <v>100000</v>
      </c>
      <c r="E209" s="61">
        <v>16500</v>
      </c>
      <c r="F209" s="61">
        <f t="shared" si="136"/>
        <v>83500</v>
      </c>
      <c r="G209" s="61">
        <f t="shared" si="137"/>
        <v>16.5</v>
      </c>
      <c r="H209" s="61">
        <f t="shared" si="138"/>
        <v>16.5</v>
      </c>
      <c r="J209" s="103"/>
    </row>
    <row r="210" spans="1:10" s="8" customFormat="1" ht="46.8" x14ac:dyDescent="0.3">
      <c r="A210" s="55" t="s">
        <v>394</v>
      </c>
      <c r="B210" s="38" t="s">
        <v>392</v>
      </c>
      <c r="C210" s="19">
        <f>C211</f>
        <v>300000</v>
      </c>
      <c r="D210" s="19">
        <f t="shared" ref="D210:E211" si="144">D211</f>
        <v>300000</v>
      </c>
      <c r="E210" s="19">
        <f t="shared" si="144"/>
        <v>7200</v>
      </c>
      <c r="F210" s="19">
        <f t="shared" si="136"/>
        <v>292800</v>
      </c>
      <c r="G210" s="19">
        <f t="shared" si="137"/>
        <v>2.4</v>
      </c>
      <c r="H210" s="19">
        <f t="shared" si="138"/>
        <v>2.4</v>
      </c>
      <c r="J210" s="103"/>
    </row>
    <row r="211" spans="1:10" s="8" customFormat="1" ht="46.8" x14ac:dyDescent="0.3">
      <c r="A211" s="55" t="s">
        <v>395</v>
      </c>
      <c r="B211" s="38" t="s">
        <v>393</v>
      </c>
      <c r="C211" s="19">
        <f>C212</f>
        <v>300000</v>
      </c>
      <c r="D211" s="19">
        <f t="shared" si="144"/>
        <v>300000</v>
      </c>
      <c r="E211" s="19">
        <f t="shared" si="144"/>
        <v>7200</v>
      </c>
      <c r="F211" s="19">
        <f t="shared" si="136"/>
        <v>292800</v>
      </c>
      <c r="G211" s="19">
        <f t="shared" si="137"/>
        <v>2.4</v>
      </c>
      <c r="H211" s="19">
        <f t="shared" si="138"/>
        <v>2.4</v>
      </c>
      <c r="J211" s="103"/>
    </row>
    <row r="212" spans="1:10" s="12" customFormat="1" ht="31.2" customHeight="1" x14ac:dyDescent="0.3">
      <c r="A212" s="24" t="s">
        <v>397</v>
      </c>
      <c r="B212" s="22" t="s">
        <v>396</v>
      </c>
      <c r="C212" s="61">
        <v>300000</v>
      </c>
      <c r="D212" s="61">
        <v>300000</v>
      </c>
      <c r="E212" s="61">
        <v>7200</v>
      </c>
      <c r="F212" s="61">
        <f t="shared" si="136"/>
        <v>292800</v>
      </c>
      <c r="G212" s="61">
        <f t="shared" si="137"/>
        <v>2.4</v>
      </c>
      <c r="H212" s="61">
        <f t="shared" si="138"/>
        <v>2.4</v>
      </c>
      <c r="J212" s="103"/>
    </row>
    <row r="213" spans="1:10" s="8" customFormat="1" ht="46.95" customHeight="1" x14ac:dyDescent="0.3">
      <c r="A213" s="14" t="s">
        <v>213</v>
      </c>
      <c r="B213" s="38" t="s">
        <v>62</v>
      </c>
      <c r="C213" s="7">
        <f>C214</f>
        <v>104100</v>
      </c>
      <c r="D213" s="7">
        <f t="shared" ref="D213:E215" si="145">D214</f>
        <v>104100</v>
      </c>
      <c r="E213" s="7">
        <f t="shared" si="145"/>
        <v>0</v>
      </c>
      <c r="F213" s="7">
        <f t="shared" si="136"/>
        <v>104100</v>
      </c>
      <c r="G213" s="7">
        <f t="shared" si="137"/>
        <v>0</v>
      </c>
      <c r="H213" s="7">
        <f t="shared" si="138"/>
        <v>0</v>
      </c>
      <c r="J213" s="103"/>
    </row>
    <row r="214" spans="1:10" s="8" customFormat="1" ht="46.95" customHeight="1" x14ac:dyDescent="0.3">
      <c r="A214" s="63" t="s">
        <v>214</v>
      </c>
      <c r="B214" s="38" t="s">
        <v>152</v>
      </c>
      <c r="C214" s="7">
        <f>C215</f>
        <v>104100</v>
      </c>
      <c r="D214" s="7">
        <f t="shared" si="145"/>
        <v>104100</v>
      </c>
      <c r="E214" s="7">
        <f t="shared" si="145"/>
        <v>0</v>
      </c>
      <c r="F214" s="7">
        <f t="shared" si="136"/>
        <v>104100</v>
      </c>
      <c r="G214" s="7">
        <f t="shared" si="137"/>
        <v>0</v>
      </c>
      <c r="H214" s="7">
        <f t="shared" si="138"/>
        <v>0</v>
      </c>
      <c r="J214" s="103"/>
    </row>
    <row r="215" spans="1:10" s="8" customFormat="1" ht="31.2" customHeight="1" x14ac:dyDescent="0.3">
      <c r="A215" s="23" t="s">
        <v>153</v>
      </c>
      <c r="B215" s="38" t="s">
        <v>154</v>
      </c>
      <c r="C215" s="7">
        <f>C216</f>
        <v>104100</v>
      </c>
      <c r="D215" s="7">
        <f t="shared" si="145"/>
        <v>104100</v>
      </c>
      <c r="E215" s="7">
        <f t="shared" si="145"/>
        <v>0</v>
      </c>
      <c r="F215" s="7">
        <f t="shared" si="136"/>
        <v>104100</v>
      </c>
      <c r="G215" s="7">
        <f t="shared" si="137"/>
        <v>0</v>
      </c>
      <c r="H215" s="7">
        <f t="shared" si="138"/>
        <v>0</v>
      </c>
      <c r="J215" s="103"/>
    </row>
    <row r="216" spans="1:10" s="12" customFormat="1" ht="31.2" customHeight="1" x14ac:dyDescent="0.3">
      <c r="A216" s="41" t="s">
        <v>155</v>
      </c>
      <c r="B216" s="26" t="s">
        <v>316</v>
      </c>
      <c r="C216" s="11">
        <v>104100</v>
      </c>
      <c r="D216" s="11">
        <v>104100</v>
      </c>
      <c r="E216" s="11">
        <v>0</v>
      </c>
      <c r="F216" s="11">
        <f t="shared" si="136"/>
        <v>104100</v>
      </c>
      <c r="G216" s="11">
        <f t="shared" si="137"/>
        <v>0</v>
      </c>
      <c r="H216" s="11">
        <f t="shared" si="138"/>
        <v>0</v>
      </c>
      <c r="J216" s="103"/>
    </row>
    <row r="217" spans="1:10" s="8" customFormat="1" ht="46.95" customHeight="1" x14ac:dyDescent="0.3">
      <c r="A217" s="36" t="s">
        <v>254</v>
      </c>
      <c r="B217" s="6" t="s">
        <v>47</v>
      </c>
      <c r="C217" s="19">
        <f>C218</f>
        <v>150000</v>
      </c>
      <c r="D217" s="19">
        <f t="shared" ref="D217:E217" si="146">D218</f>
        <v>150000</v>
      </c>
      <c r="E217" s="19">
        <f t="shared" si="146"/>
        <v>21640</v>
      </c>
      <c r="F217" s="19">
        <f t="shared" si="136"/>
        <v>128360</v>
      </c>
      <c r="G217" s="19">
        <f t="shared" si="137"/>
        <v>14.43</v>
      </c>
      <c r="H217" s="19">
        <f t="shared" si="138"/>
        <v>14.43</v>
      </c>
      <c r="J217" s="103"/>
    </row>
    <row r="218" spans="1:10" s="8" customFormat="1" ht="62.4" customHeight="1" x14ac:dyDescent="0.3">
      <c r="A218" s="29" t="s">
        <v>255</v>
      </c>
      <c r="B218" s="6" t="s">
        <v>55</v>
      </c>
      <c r="C218" s="19">
        <f>C219+C221</f>
        <v>150000</v>
      </c>
      <c r="D218" s="19">
        <f t="shared" ref="D218:E218" si="147">D219+D221</f>
        <v>150000</v>
      </c>
      <c r="E218" s="19">
        <f t="shared" si="147"/>
        <v>21640</v>
      </c>
      <c r="F218" s="19">
        <f t="shared" si="136"/>
        <v>128360</v>
      </c>
      <c r="G218" s="19">
        <f t="shared" si="137"/>
        <v>14.43</v>
      </c>
      <c r="H218" s="19">
        <f t="shared" si="138"/>
        <v>14.43</v>
      </c>
      <c r="J218" s="103"/>
    </row>
    <row r="219" spans="1:10" s="8" customFormat="1" ht="46.95" customHeight="1" x14ac:dyDescent="0.3">
      <c r="A219" s="23" t="s">
        <v>256</v>
      </c>
      <c r="B219" s="38" t="s">
        <v>258</v>
      </c>
      <c r="C219" s="7">
        <f>C220</f>
        <v>100000</v>
      </c>
      <c r="D219" s="7">
        <f t="shared" ref="D219:E219" si="148">D220</f>
        <v>100000</v>
      </c>
      <c r="E219" s="7">
        <f t="shared" si="148"/>
        <v>21640</v>
      </c>
      <c r="F219" s="7">
        <f t="shared" si="136"/>
        <v>78360</v>
      </c>
      <c r="G219" s="7">
        <f t="shared" si="137"/>
        <v>21.64</v>
      </c>
      <c r="H219" s="7">
        <f t="shared" si="138"/>
        <v>21.64</v>
      </c>
      <c r="J219" s="103"/>
    </row>
    <row r="220" spans="1:10" s="12" customFormat="1" ht="46.95" customHeight="1" x14ac:dyDescent="0.3">
      <c r="A220" s="41" t="s">
        <v>259</v>
      </c>
      <c r="B220" s="26" t="s">
        <v>257</v>
      </c>
      <c r="C220" s="11">
        <v>100000</v>
      </c>
      <c r="D220" s="11">
        <v>100000</v>
      </c>
      <c r="E220" s="11">
        <v>21640</v>
      </c>
      <c r="F220" s="11">
        <f t="shared" si="136"/>
        <v>78360</v>
      </c>
      <c r="G220" s="11">
        <f t="shared" si="137"/>
        <v>21.64</v>
      </c>
      <c r="H220" s="11">
        <f t="shared" si="138"/>
        <v>21.64</v>
      </c>
      <c r="J220" s="103"/>
    </row>
    <row r="221" spans="1:10" s="8" customFormat="1" ht="62.4" customHeight="1" x14ac:dyDescent="0.3">
      <c r="A221" s="23" t="s">
        <v>260</v>
      </c>
      <c r="B221" s="38" t="s">
        <v>301</v>
      </c>
      <c r="C221" s="7">
        <f>C222</f>
        <v>50000</v>
      </c>
      <c r="D221" s="7">
        <f t="shared" ref="D221:E221" si="149">D222</f>
        <v>50000</v>
      </c>
      <c r="E221" s="7">
        <f t="shared" si="149"/>
        <v>0</v>
      </c>
      <c r="F221" s="7">
        <f t="shared" si="136"/>
        <v>50000</v>
      </c>
      <c r="G221" s="7">
        <f t="shared" si="137"/>
        <v>0</v>
      </c>
      <c r="H221" s="7">
        <f t="shared" si="138"/>
        <v>0</v>
      </c>
      <c r="J221" s="103"/>
    </row>
    <row r="222" spans="1:10" s="12" customFormat="1" ht="15.6" customHeight="1" x14ac:dyDescent="0.3">
      <c r="A222" s="41" t="s">
        <v>41</v>
      </c>
      <c r="B222" s="26" t="s">
        <v>56</v>
      </c>
      <c r="C222" s="11">
        <v>50000</v>
      </c>
      <c r="D222" s="11">
        <v>50000</v>
      </c>
      <c r="E222" s="11">
        <v>0</v>
      </c>
      <c r="F222" s="11">
        <f t="shared" si="136"/>
        <v>50000</v>
      </c>
      <c r="G222" s="11">
        <f t="shared" si="137"/>
        <v>0</v>
      </c>
      <c r="H222" s="11">
        <f t="shared" si="138"/>
        <v>0</v>
      </c>
      <c r="J222" s="103"/>
    </row>
    <row r="223" spans="1:10" s="8" customFormat="1" ht="62.4" customHeight="1" x14ac:dyDescent="0.3">
      <c r="A223" s="64" t="s">
        <v>321</v>
      </c>
      <c r="B223" s="59" t="s">
        <v>197</v>
      </c>
      <c r="C223" s="19">
        <f>C224</f>
        <v>0</v>
      </c>
      <c r="D223" s="19">
        <f t="shared" ref="D223:E224" si="150">D224</f>
        <v>3182570</v>
      </c>
      <c r="E223" s="19">
        <f t="shared" si="150"/>
        <v>0</v>
      </c>
      <c r="F223" s="19">
        <f t="shared" si="136"/>
        <v>3182570</v>
      </c>
      <c r="G223" s="19" t="s">
        <v>540</v>
      </c>
      <c r="H223" s="19">
        <f t="shared" si="138"/>
        <v>0</v>
      </c>
      <c r="J223" s="103"/>
    </row>
    <row r="224" spans="1:10" s="8" customFormat="1" ht="46.95" customHeight="1" x14ac:dyDescent="0.3">
      <c r="A224" s="65" t="s">
        <v>306</v>
      </c>
      <c r="B224" s="59" t="s">
        <v>196</v>
      </c>
      <c r="C224" s="19">
        <f>C225</f>
        <v>0</v>
      </c>
      <c r="D224" s="19">
        <f t="shared" si="150"/>
        <v>3182570</v>
      </c>
      <c r="E224" s="19">
        <f t="shared" si="150"/>
        <v>0</v>
      </c>
      <c r="F224" s="19">
        <f t="shared" si="136"/>
        <v>3182570</v>
      </c>
      <c r="G224" s="19" t="s">
        <v>540</v>
      </c>
      <c r="H224" s="19">
        <f t="shared" si="138"/>
        <v>0</v>
      </c>
      <c r="J224" s="103"/>
    </row>
    <row r="225" spans="1:10" s="8" customFormat="1" ht="62.4" customHeight="1" x14ac:dyDescent="0.3">
      <c r="A225" s="65" t="s">
        <v>198</v>
      </c>
      <c r="B225" s="59" t="s">
        <v>131</v>
      </c>
      <c r="C225" s="19">
        <f>C226+C227+C228</f>
        <v>0</v>
      </c>
      <c r="D225" s="19">
        <f t="shared" ref="D225:E225" si="151">D226+D227+D228</f>
        <v>3182570</v>
      </c>
      <c r="E225" s="19">
        <f t="shared" si="151"/>
        <v>0</v>
      </c>
      <c r="F225" s="19">
        <f t="shared" si="136"/>
        <v>3182570</v>
      </c>
      <c r="G225" s="19" t="s">
        <v>540</v>
      </c>
      <c r="H225" s="19">
        <f t="shared" si="138"/>
        <v>0</v>
      </c>
      <c r="J225" s="103"/>
    </row>
    <row r="226" spans="1:10" s="12" customFormat="1" ht="31.2" customHeight="1" x14ac:dyDescent="0.3">
      <c r="A226" s="10" t="s">
        <v>129</v>
      </c>
      <c r="B226" s="35" t="s">
        <v>302</v>
      </c>
      <c r="C226" s="21">
        <v>0</v>
      </c>
      <c r="D226" s="21">
        <f t="shared" ref="D226" si="152">0+3182570</f>
        <v>3182570</v>
      </c>
      <c r="E226" s="21">
        <v>0</v>
      </c>
      <c r="F226" s="21">
        <f t="shared" si="136"/>
        <v>3182570</v>
      </c>
      <c r="G226" s="21" t="s">
        <v>540</v>
      </c>
      <c r="H226" s="21">
        <f t="shared" si="138"/>
        <v>0</v>
      </c>
      <c r="J226" s="103"/>
    </row>
    <row r="227" spans="1:10" s="12" customFormat="1" ht="62.4" customHeight="1" x14ac:dyDescent="0.3">
      <c r="A227" s="24" t="s">
        <v>323</v>
      </c>
      <c r="B227" s="35" t="s">
        <v>130</v>
      </c>
      <c r="C227" s="21">
        <v>0</v>
      </c>
      <c r="D227" s="21">
        <v>0</v>
      </c>
      <c r="E227" s="21">
        <v>0</v>
      </c>
      <c r="F227" s="21">
        <f t="shared" si="136"/>
        <v>0</v>
      </c>
      <c r="G227" s="21" t="s">
        <v>540</v>
      </c>
      <c r="H227" s="21" t="s">
        <v>540</v>
      </c>
      <c r="J227" s="103"/>
    </row>
    <row r="228" spans="1:10" s="8" customFormat="1" ht="46.95" customHeight="1" x14ac:dyDescent="0.3">
      <c r="A228" s="10" t="s">
        <v>303</v>
      </c>
      <c r="B228" s="35" t="s">
        <v>130</v>
      </c>
      <c r="C228" s="21">
        <v>0</v>
      </c>
      <c r="D228" s="21">
        <v>0</v>
      </c>
      <c r="E228" s="21">
        <v>0</v>
      </c>
      <c r="F228" s="21">
        <f t="shared" si="136"/>
        <v>0</v>
      </c>
      <c r="G228" s="21" t="s">
        <v>540</v>
      </c>
      <c r="H228" s="21" t="s">
        <v>540</v>
      </c>
      <c r="J228" s="103"/>
    </row>
    <row r="229" spans="1:10" s="8" customFormat="1" ht="46.8" x14ac:dyDescent="0.3">
      <c r="A229" s="36" t="s">
        <v>484</v>
      </c>
      <c r="B229" s="6" t="s">
        <v>106</v>
      </c>
      <c r="C229" s="7">
        <f>C234+C238+C242+C230</f>
        <v>29470941.84</v>
      </c>
      <c r="D229" s="7">
        <f t="shared" ref="D229:E229" si="153">D234+D238+D242+D230</f>
        <v>61505470.649999999</v>
      </c>
      <c r="E229" s="7">
        <f t="shared" si="153"/>
        <v>7745984.4699999997</v>
      </c>
      <c r="F229" s="7">
        <f t="shared" si="136"/>
        <v>53759486.18</v>
      </c>
      <c r="G229" s="7">
        <f t="shared" si="137"/>
        <v>26.28</v>
      </c>
      <c r="H229" s="7">
        <f t="shared" si="138"/>
        <v>12.59</v>
      </c>
      <c r="J229" s="103"/>
    </row>
    <row r="230" spans="1:10" s="8" customFormat="1" ht="31.2" x14ac:dyDescent="0.3">
      <c r="A230" s="29" t="s">
        <v>512</v>
      </c>
      <c r="B230" s="6" t="s">
        <v>511</v>
      </c>
      <c r="C230" s="7">
        <f>C231</f>
        <v>0</v>
      </c>
      <c r="D230" s="7">
        <f t="shared" ref="D230:E230" si="154">D231</f>
        <v>5152450.3499999996</v>
      </c>
      <c r="E230" s="7">
        <f t="shared" si="154"/>
        <v>0</v>
      </c>
      <c r="F230" s="7">
        <f t="shared" si="136"/>
        <v>5152450.3499999996</v>
      </c>
      <c r="G230" s="7" t="s">
        <v>540</v>
      </c>
      <c r="H230" s="7">
        <f t="shared" si="138"/>
        <v>0</v>
      </c>
      <c r="J230" s="103"/>
    </row>
    <row r="231" spans="1:10" s="8" customFormat="1" ht="15.6" x14ac:dyDescent="0.3">
      <c r="A231" s="29" t="s">
        <v>513</v>
      </c>
      <c r="B231" s="6" t="s">
        <v>517</v>
      </c>
      <c r="C231" s="7">
        <f>C232+C233</f>
        <v>0</v>
      </c>
      <c r="D231" s="7">
        <f t="shared" ref="D231:E231" si="155">D232+D233</f>
        <v>5152450.3499999996</v>
      </c>
      <c r="E231" s="7">
        <f t="shared" si="155"/>
        <v>0</v>
      </c>
      <c r="F231" s="7">
        <f t="shared" si="136"/>
        <v>5152450.3499999996</v>
      </c>
      <c r="G231" s="7" t="s">
        <v>540</v>
      </c>
      <c r="H231" s="7">
        <f t="shared" si="138"/>
        <v>0</v>
      </c>
      <c r="J231" s="103"/>
    </row>
    <row r="232" spans="1:10" s="8" customFormat="1" ht="15.6" x14ac:dyDescent="0.3">
      <c r="A232" s="10" t="s">
        <v>514</v>
      </c>
      <c r="B232" s="4" t="s">
        <v>515</v>
      </c>
      <c r="C232" s="11">
        <v>0</v>
      </c>
      <c r="D232" s="11">
        <f t="shared" ref="D232" si="156">0+5126688.09</f>
        <v>5126688.09</v>
      </c>
      <c r="E232" s="11">
        <v>0</v>
      </c>
      <c r="F232" s="11">
        <f t="shared" si="136"/>
        <v>5126688.09</v>
      </c>
      <c r="G232" s="11" t="s">
        <v>540</v>
      </c>
      <c r="H232" s="11">
        <f t="shared" si="138"/>
        <v>0</v>
      </c>
      <c r="J232" s="103"/>
    </row>
    <row r="233" spans="1:10" s="8" customFormat="1" ht="31.2" x14ac:dyDescent="0.3">
      <c r="A233" s="10" t="s">
        <v>516</v>
      </c>
      <c r="B233" s="4" t="s">
        <v>515</v>
      </c>
      <c r="C233" s="11">
        <v>0</v>
      </c>
      <c r="D233" s="11">
        <f t="shared" ref="D233" si="157">0+25762.26</f>
        <v>25762.26</v>
      </c>
      <c r="E233" s="11">
        <v>0</v>
      </c>
      <c r="F233" s="11">
        <f t="shared" si="136"/>
        <v>25762.26</v>
      </c>
      <c r="G233" s="11" t="s">
        <v>540</v>
      </c>
      <c r="H233" s="11">
        <f t="shared" si="138"/>
        <v>0</v>
      </c>
      <c r="J233" s="103"/>
    </row>
    <row r="234" spans="1:10" s="8" customFormat="1" ht="31.2" x14ac:dyDescent="0.3">
      <c r="A234" s="29" t="s">
        <v>400</v>
      </c>
      <c r="B234" s="6" t="s">
        <v>398</v>
      </c>
      <c r="C234" s="7">
        <f>C235</f>
        <v>732347.75</v>
      </c>
      <c r="D234" s="7">
        <f t="shared" ref="D234:E234" si="158">D235</f>
        <v>109832.57</v>
      </c>
      <c r="E234" s="7">
        <f t="shared" si="158"/>
        <v>0</v>
      </c>
      <c r="F234" s="7">
        <f t="shared" si="136"/>
        <v>109832.57</v>
      </c>
      <c r="G234" s="7">
        <f t="shared" si="137"/>
        <v>0</v>
      </c>
      <c r="H234" s="7">
        <f t="shared" si="138"/>
        <v>0</v>
      </c>
      <c r="J234" s="103"/>
    </row>
    <row r="235" spans="1:10" s="8" customFormat="1" ht="31.2" x14ac:dyDescent="0.3">
      <c r="A235" s="29" t="s">
        <v>399</v>
      </c>
      <c r="B235" s="6" t="s">
        <v>401</v>
      </c>
      <c r="C235" s="7">
        <f>C236+C237</f>
        <v>732347.75</v>
      </c>
      <c r="D235" s="7">
        <f t="shared" ref="D235:E235" si="159">D236+D237</f>
        <v>109832.57</v>
      </c>
      <c r="E235" s="7">
        <f t="shared" si="159"/>
        <v>0</v>
      </c>
      <c r="F235" s="7">
        <f t="shared" si="136"/>
        <v>109832.57</v>
      </c>
      <c r="G235" s="7">
        <f t="shared" si="137"/>
        <v>0</v>
      </c>
      <c r="H235" s="7">
        <f t="shared" si="138"/>
        <v>0</v>
      </c>
      <c r="J235" s="103"/>
    </row>
    <row r="236" spans="1:10" s="8" customFormat="1" ht="46.8" x14ac:dyDescent="0.3">
      <c r="A236" s="10" t="s">
        <v>132</v>
      </c>
      <c r="B236" s="4" t="s">
        <v>402</v>
      </c>
      <c r="C236" s="11">
        <v>0</v>
      </c>
      <c r="D236" s="11">
        <v>0</v>
      </c>
      <c r="E236" s="11">
        <v>0</v>
      </c>
      <c r="F236" s="11">
        <f t="shared" si="136"/>
        <v>0</v>
      </c>
      <c r="G236" s="11" t="s">
        <v>540</v>
      </c>
      <c r="H236" s="11" t="s">
        <v>540</v>
      </c>
      <c r="J236" s="103"/>
    </row>
    <row r="237" spans="1:10" s="8" customFormat="1" ht="46.8" x14ac:dyDescent="0.3">
      <c r="A237" s="10" t="s">
        <v>133</v>
      </c>
      <c r="B237" s="4" t="s">
        <v>402</v>
      </c>
      <c r="C237" s="11">
        <v>732347.75</v>
      </c>
      <c r="D237" s="11">
        <v>109832.57</v>
      </c>
      <c r="E237" s="11">
        <v>0</v>
      </c>
      <c r="F237" s="11">
        <f t="shared" si="136"/>
        <v>109832.57</v>
      </c>
      <c r="G237" s="11">
        <f t="shared" si="137"/>
        <v>0</v>
      </c>
      <c r="H237" s="11">
        <f t="shared" si="138"/>
        <v>0</v>
      </c>
      <c r="J237" s="103"/>
    </row>
    <row r="238" spans="1:10" s="8" customFormat="1" ht="31.2" x14ac:dyDescent="0.3">
      <c r="A238" s="29" t="s">
        <v>270</v>
      </c>
      <c r="B238" s="6" t="s">
        <v>354</v>
      </c>
      <c r="C238" s="7">
        <f>C239</f>
        <v>3902033.32</v>
      </c>
      <c r="D238" s="7">
        <f t="shared" ref="D238:E238" si="160">D239</f>
        <v>3902033.32</v>
      </c>
      <c r="E238" s="7">
        <f t="shared" si="160"/>
        <v>171517.8</v>
      </c>
      <c r="F238" s="7">
        <f t="shared" si="136"/>
        <v>3730515.52</v>
      </c>
      <c r="G238" s="7">
        <f t="shared" si="137"/>
        <v>4.4000000000000004</v>
      </c>
      <c r="H238" s="7">
        <f t="shared" si="138"/>
        <v>4.4000000000000004</v>
      </c>
      <c r="J238" s="103"/>
    </row>
    <row r="239" spans="1:10" s="8" customFormat="1" ht="31.2" x14ac:dyDescent="0.3">
      <c r="A239" s="66" t="s">
        <v>271</v>
      </c>
      <c r="B239" s="6" t="s">
        <v>355</v>
      </c>
      <c r="C239" s="7">
        <f>C240+C241</f>
        <v>3902033.32</v>
      </c>
      <c r="D239" s="7">
        <f t="shared" ref="D239:E239" si="161">D240+D241</f>
        <v>3902033.32</v>
      </c>
      <c r="E239" s="7">
        <f t="shared" si="161"/>
        <v>171517.8</v>
      </c>
      <c r="F239" s="7">
        <f t="shared" si="136"/>
        <v>3730515.52</v>
      </c>
      <c r="G239" s="7">
        <f t="shared" si="137"/>
        <v>4.4000000000000004</v>
      </c>
      <c r="H239" s="7">
        <f t="shared" si="138"/>
        <v>4.4000000000000004</v>
      </c>
      <c r="J239" s="103"/>
    </row>
    <row r="240" spans="1:10" s="12" customFormat="1" ht="62.4" x14ac:dyDescent="0.3">
      <c r="A240" s="50" t="s">
        <v>127</v>
      </c>
      <c r="B240" s="4" t="s">
        <v>356</v>
      </c>
      <c r="C240" s="11">
        <v>1951016.66</v>
      </c>
      <c r="D240" s="11">
        <v>1951016.66</v>
      </c>
      <c r="E240" s="11">
        <v>0</v>
      </c>
      <c r="F240" s="11">
        <f t="shared" si="136"/>
        <v>1951016.66</v>
      </c>
      <c r="G240" s="11">
        <f t="shared" si="137"/>
        <v>0</v>
      </c>
      <c r="H240" s="11">
        <f t="shared" si="138"/>
        <v>0</v>
      </c>
      <c r="J240" s="103"/>
    </row>
    <row r="241" spans="1:10" s="12" customFormat="1" ht="46.8" x14ac:dyDescent="0.3">
      <c r="A241" s="50" t="s">
        <v>128</v>
      </c>
      <c r="B241" s="4" t="s">
        <v>356</v>
      </c>
      <c r="C241" s="11">
        <v>1951016.66</v>
      </c>
      <c r="D241" s="11">
        <v>1951016.66</v>
      </c>
      <c r="E241" s="11">
        <v>171517.8</v>
      </c>
      <c r="F241" s="11">
        <f t="shared" si="136"/>
        <v>1779498.86</v>
      </c>
      <c r="G241" s="11">
        <f t="shared" si="137"/>
        <v>8.7899999999999991</v>
      </c>
      <c r="H241" s="11">
        <f t="shared" si="138"/>
        <v>8.7899999999999991</v>
      </c>
      <c r="J241" s="103"/>
    </row>
    <row r="242" spans="1:10" s="8" customFormat="1" ht="31.2" x14ac:dyDescent="0.3">
      <c r="A242" s="29" t="s">
        <v>404</v>
      </c>
      <c r="B242" s="6" t="s">
        <v>403</v>
      </c>
      <c r="C242" s="7">
        <f>C243+C246+C251+C254</f>
        <v>24836560.77</v>
      </c>
      <c r="D242" s="7">
        <f t="shared" ref="D242:E242" si="162">D243+D246+D251+D254</f>
        <v>52341154.409999996</v>
      </c>
      <c r="E242" s="7">
        <f t="shared" si="162"/>
        <v>7574466.6699999999</v>
      </c>
      <c r="F242" s="7">
        <f t="shared" si="136"/>
        <v>44766687.740000002</v>
      </c>
      <c r="G242" s="7">
        <f t="shared" si="137"/>
        <v>30.5</v>
      </c>
      <c r="H242" s="7">
        <f t="shared" si="138"/>
        <v>14.47</v>
      </c>
      <c r="J242" s="103"/>
    </row>
    <row r="243" spans="1:10" s="8" customFormat="1" ht="31.2" x14ac:dyDescent="0.3">
      <c r="A243" s="29" t="s">
        <v>405</v>
      </c>
      <c r="B243" s="6" t="s">
        <v>406</v>
      </c>
      <c r="C243" s="7">
        <f>C245+C244</f>
        <v>17449559.469999999</v>
      </c>
      <c r="D243" s="7">
        <f t="shared" ref="D243:E243" si="163">D245+D244</f>
        <v>36118078.380000003</v>
      </c>
      <c r="E243" s="7">
        <f t="shared" si="163"/>
        <v>6841419.4000000004</v>
      </c>
      <c r="F243" s="7">
        <f t="shared" si="136"/>
        <v>29276658.98</v>
      </c>
      <c r="G243" s="7">
        <f t="shared" si="137"/>
        <v>39.21</v>
      </c>
      <c r="H243" s="7">
        <f t="shared" si="138"/>
        <v>18.940000000000001</v>
      </c>
      <c r="J243" s="103"/>
    </row>
    <row r="244" spans="1:10" s="8" customFormat="1" ht="15.6" x14ac:dyDescent="0.3">
      <c r="A244" s="10" t="s">
        <v>518</v>
      </c>
      <c r="B244" s="4" t="s">
        <v>519</v>
      </c>
      <c r="C244" s="11">
        <v>0</v>
      </c>
      <c r="D244" s="11">
        <f t="shared" ref="D244" si="164">0+4000000</f>
        <v>4000000</v>
      </c>
      <c r="E244" s="11">
        <v>0</v>
      </c>
      <c r="F244" s="11">
        <f t="shared" si="136"/>
        <v>4000000</v>
      </c>
      <c r="G244" s="11" t="s">
        <v>540</v>
      </c>
      <c r="H244" s="11">
        <f t="shared" si="138"/>
        <v>0</v>
      </c>
      <c r="J244" s="103"/>
    </row>
    <row r="245" spans="1:10" s="8" customFormat="1" ht="15.6" x14ac:dyDescent="0.3">
      <c r="A245" s="10" t="s">
        <v>157</v>
      </c>
      <c r="B245" s="4" t="s">
        <v>407</v>
      </c>
      <c r="C245" s="11">
        <f>17449559.47</f>
        <v>17449559.469999999</v>
      </c>
      <c r="D245" s="11">
        <f t="shared" ref="D245" si="165">17449559.47+14451512.91+217006</f>
        <v>32118078.379999999</v>
      </c>
      <c r="E245" s="11">
        <v>6841419.4000000004</v>
      </c>
      <c r="F245" s="11">
        <f t="shared" si="136"/>
        <v>25276658.98</v>
      </c>
      <c r="G245" s="11">
        <f t="shared" si="137"/>
        <v>39.21</v>
      </c>
      <c r="H245" s="11">
        <f t="shared" si="138"/>
        <v>21.3</v>
      </c>
      <c r="J245" s="103"/>
    </row>
    <row r="246" spans="1:10" s="8" customFormat="1" ht="31.2" x14ac:dyDescent="0.3">
      <c r="A246" s="29" t="s">
        <v>338</v>
      </c>
      <c r="B246" s="6" t="s">
        <v>408</v>
      </c>
      <c r="C246" s="7">
        <f>C247+C248+C249+C250</f>
        <v>60606.080000000002</v>
      </c>
      <c r="D246" s="7">
        <f t="shared" ref="D246:E246" si="166">D247+D248+D249+D250</f>
        <v>8266680.8099999996</v>
      </c>
      <c r="E246" s="7">
        <f t="shared" si="166"/>
        <v>0</v>
      </c>
      <c r="F246" s="7">
        <f t="shared" si="136"/>
        <v>8266680.8099999996</v>
      </c>
      <c r="G246" s="7">
        <f t="shared" si="137"/>
        <v>0</v>
      </c>
      <c r="H246" s="7">
        <f t="shared" si="138"/>
        <v>0</v>
      </c>
      <c r="J246" s="103"/>
    </row>
    <row r="247" spans="1:10" s="8" customFormat="1" ht="31.2" x14ac:dyDescent="0.3">
      <c r="A247" s="10" t="s">
        <v>520</v>
      </c>
      <c r="B247" s="4" t="s">
        <v>409</v>
      </c>
      <c r="C247" s="11">
        <v>0</v>
      </c>
      <c r="D247" s="11">
        <f t="shared" ref="D247" si="167">0+3000000</f>
        <v>3000000</v>
      </c>
      <c r="E247" s="11">
        <v>0</v>
      </c>
      <c r="F247" s="11">
        <f t="shared" si="136"/>
        <v>3000000</v>
      </c>
      <c r="G247" s="11" t="s">
        <v>540</v>
      </c>
      <c r="H247" s="11">
        <f t="shared" si="138"/>
        <v>0</v>
      </c>
      <c r="J247" s="103"/>
    </row>
    <row r="248" spans="1:10" s="8" customFormat="1" ht="46.8" x14ac:dyDescent="0.3">
      <c r="A248" s="10" t="s">
        <v>521</v>
      </c>
      <c r="B248" s="4" t="s">
        <v>409</v>
      </c>
      <c r="C248" s="11">
        <v>30303.040000000001</v>
      </c>
      <c r="D248" s="11">
        <v>30303.040000000001</v>
      </c>
      <c r="E248" s="11">
        <v>0</v>
      </c>
      <c r="F248" s="11">
        <f t="shared" si="136"/>
        <v>30303.040000000001</v>
      </c>
      <c r="G248" s="11">
        <f t="shared" si="137"/>
        <v>0</v>
      </c>
      <c r="H248" s="11">
        <f t="shared" si="138"/>
        <v>0</v>
      </c>
      <c r="J248" s="103"/>
    </row>
    <row r="249" spans="1:10" s="8" customFormat="1" ht="31.2" x14ac:dyDescent="0.3">
      <c r="A249" s="10" t="s">
        <v>522</v>
      </c>
      <c r="B249" s="4" t="s">
        <v>410</v>
      </c>
      <c r="C249" s="11">
        <v>0</v>
      </c>
      <c r="D249" s="11">
        <f t="shared" ref="D249" si="168">0+3000000</f>
        <v>3000000</v>
      </c>
      <c r="E249" s="11">
        <v>0</v>
      </c>
      <c r="F249" s="11">
        <f t="shared" si="136"/>
        <v>3000000</v>
      </c>
      <c r="G249" s="11" t="s">
        <v>540</v>
      </c>
      <c r="H249" s="11">
        <f t="shared" si="138"/>
        <v>0</v>
      </c>
      <c r="J249" s="103"/>
    </row>
    <row r="250" spans="1:10" s="8" customFormat="1" ht="46.8" x14ac:dyDescent="0.3">
      <c r="A250" s="10" t="s">
        <v>523</v>
      </c>
      <c r="B250" s="4" t="s">
        <v>410</v>
      </c>
      <c r="C250" s="11">
        <f>30303.04</f>
        <v>30303.040000000001</v>
      </c>
      <c r="D250" s="11">
        <f t="shared" ref="D250" si="169">30303.04+2206074.73</f>
        <v>2236377.77</v>
      </c>
      <c r="E250" s="11">
        <v>0</v>
      </c>
      <c r="F250" s="11">
        <f t="shared" si="136"/>
        <v>2236377.77</v>
      </c>
      <c r="G250" s="11">
        <f t="shared" si="137"/>
        <v>0</v>
      </c>
      <c r="H250" s="11">
        <f t="shared" si="138"/>
        <v>0</v>
      </c>
      <c r="J250" s="103"/>
    </row>
    <row r="251" spans="1:10" s="8" customFormat="1" ht="46.8" x14ac:dyDescent="0.3">
      <c r="A251" s="29" t="s">
        <v>414</v>
      </c>
      <c r="B251" s="6" t="s">
        <v>416</v>
      </c>
      <c r="C251" s="7">
        <f>C252+C253</f>
        <v>3406395.22</v>
      </c>
      <c r="D251" s="7">
        <f t="shared" ref="D251:E251" si="170">D252+D253</f>
        <v>4006395.22</v>
      </c>
      <c r="E251" s="7">
        <f t="shared" si="170"/>
        <v>718047.27</v>
      </c>
      <c r="F251" s="7">
        <f t="shared" si="136"/>
        <v>3288347.95</v>
      </c>
      <c r="G251" s="7">
        <f t="shared" si="137"/>
        <v>21.08</v>
      </c>
      <c r="H251" s="7">
        <f t="shared" si="138"/>
        <v>17.920000000000002</v>
      </c>
      <c r="J251" s="103"/>
    </row>
    <row r="252" spans="1:10" s="8" customFormat="1" ht="31.2" x14ac:dyDescent="0.3">
      <c r="A252" s="10" t="s">
        <v>415</v>
      </c>
      <c r="B252" s="4" t="s">
        <v>417</v>
      </c>
      <c r="C252" s="11">
        <f>100000</f>
        <v>100000</v>
      </c>
      <c r="D252" s="11">
        <f t="shared" ref="D252" si="171">100000+600000</f>
        <v>700000</v>
      </c>
      <c r="E252" s="11">
        <v>0</v>
      </c>
      <c r="F252" s="11">
        <f t="shared" si="136"/>
        <v>700000</v>
      </c>
      <c r="G252" s="11">
        <f t="shared" si="137"/>
        <v>0</v>
      </c>
      <c r="H252" s="11">
        <f t="shared" si="138"/>
        <v>0</v>
      </c>
      <c r="J252" s="103"/>
    </row>
    <row r="253" spans="1:10" s="8" customFormat="1" ht="46.8" x14ac:dyDescent="0.3">
      <c r="A253" s="10" t="s">
        <v>418</v>
      </c>
      <c r="B253" s="4" t="s">
        <v>424</v>
      </c>
      <c r="C253" s="11">
        <v>3306395.22</v>
      </c>
      <c r="D253" s="11">
        <v>3306395.22</v>
      </c>
      <c r="E253" s="11">
        <v>718047.27</v>
      </c>
      <c r="F253" s="11">
        <f t="shared" si="136"/>
        <v>2588347.9500000002</v>
      </c>
      <c r="G253" s="11">
        <f t="shared" si="137"/>
        <v>21.72</v>
      </c>
      <c r="H253" s="11">
        <f t="shared" si="138"/>
        <v>21.72</v>
      </c>
      <c r="J253" s="103"/>
    </row>
    <row r="254" spans="1:10" s="8" customFormat="1" ht="46.8" x14ac:dyDescent="0.3">
      <c r="A254" s="66" t="s">
        <v>419</v>
      </c>
      <c r="B254" s="6" t="s">
        <v>411</v>
      </c>
      <c r="C254" s="7">
        <f>C255+C256</f>
        <v>3920000</v>
      </c>
      <c r="D254" s="7">
        <f t="shared" ref="D254:E254" si="172">D255+D256</f>
        <v>3950000</v>
      </c>
      <c r="E254" s="7">
        <f t="shared" si="172"/>
        <v>15000</v>
      </c>
      <c r="F254" s="7">
        <f t="shared" si="136"/>
        <v>3935000</v>
      </c>
      <c r="G254" s="7">
        <f t="shared" si="137"/>
        <v>0.38</v>
      </c>
      <c r="H254" s="7">
        <f t="shared" si="138"/>
        <v>0.38</v>
      </c>
      <c r="J254" s="103"/>
    </row>
    <row r="255" spans="1:10" s="12" customFormat="1" ht="15.6" x14ac:dyDescent="0.3">
      <c r="A255" s="50" t="s">
        <v>440</v>
      </c>
      <c r="B255" s="4" t="s">
        <v>412</v>
      </c>
      <c r="C255" s="11">
        <v>3670000</v>
      </c>
      <c r="D255" s="11">
        <v>3670000</v>
      </c>
      <c r="E255" s="11">
        <v>0</v>
      </c>
      <c r="F255" s="11">
        <f t="shared" si="136"/>
        <v>3670000</v>
      </c>
      <c r="G255" s="11">
        <f t="shared" si="137"/>
        <v>0</v>
      </c>
      <c r="H255" s="11">
        <f t="shared" si="138"/>
        <v>0</v>
      </c>
      <c r="J255" s="103"/>
    </row>
    <row r="256" spans="1:10" s="12" customFormat="1" ht="15.6" x14ac:dyDescent="0.3">
      <c r="A256" s="50" t="s">
        <v>357</v>
      </c>
      <c r="B256" s="4" t="s">
        <v>413</v>
      </c>
      <c r="C256" s="11">
        <f>250000</f>
        <v>250000</v>
      </c>
      <c r="D256" s="11">
        <f t="shared" ref="D256" si="173">250000+30000</f>
        <v>280000</v>
      </c>
      <c r="E256" s="11">
        <v>15000</v>
      </c>
      <c r="F256" s="11">
        <f t="shared" si="136"/>
        <v>265000</v>
      </c>
      <c r="G256" s="11">
        <f t="shared" si="137"/>
        <v>6</v>
      </c>
      <c r="H256" s="11">
        <f t="shared" si="138"/>
        <v>5.36</v>
      </c>
      <c r="J256" s="103"/>
    </row>
    <row r="257" spans="1:10" s="3" customFormat="1" ht="31.2" x14ac:dyDescent="0.3">
      <c r="A257" s="67" t="s">
        <v>432</v>
      </c>
      <c r="B257" s="59" t="s">
        <v>428</v>
      </c>
      <c r="C257" s="7">
        <f>C258</f>
        <v>35430</v>
      </c>
      <c r="D257" s="7">
        <f t="shared" ref="D257:E259" si="174">D258</f>
        <v>35430</v>
      </c>
      <c r="E257" s="7">
        <f t="shared" si="174"/>
        <v>0</v>
      </c>
      <c r="F257" s="7">
        <f t="shared" si="136"/>
        <v>35430</v>
      </c>
      <c r="G257" s="7">
        <f t="shared" si="137"/>
        <v>0</v>
      </c>
      <c r="H257" s="7">
        <f t="shared" si="138"/>
        <v>0</v>
      </c>
      <c r="J257" s="103"/>
    </row>
    <row r="258" spans="1:10" s="3" customFormat="1" ht="31.2" x14ac:dyDescent="0.3">
      <c r="A258" s="67" t="s">
        <v>433</v>
      </c>
      <c r="B258" s="59" t="s">
        <v>429</v>
      </c>
      <c r="C258" s="7">
        <f>C259</f>
        <v>35430</v>
      </c>
      <c r="D258" s="7">
        <f t="shared" si="174"/>
        <v>35430</v>
      </c>
      <c r="E258" s="7">
        <f t="shared" si="174"/>
        <v>0</v>
      </c>
      <c r="F258" s="7">
        <f t="shared" si="136"/>
        <v>35430</v>
      </c>
      <c r="G258" s="7">
        <f t="shared" si="137"/>
        <v>0</v>
      </c>
      <c r="H258" s="7">
        <f t="shared" si="138"/>
        <v>0</v>
      </c>
      <c r="J258" s="103"/>
    </row>
    <row r="259" spans="1:10" s="3" customFormat="1" ht="48.6" x14ac:dyDescent="0.3">
      <c r="A259" s="68" t="s">
        <v>434</v>
      </c>
      <c r="B259" s="69" t="s">
        <v>430</v>
      </c>
      <c r="C259" s="70">
        <f>C260</f>
        <v>35430</v>
      </c>
      <c r="D259" s="70">
        <f t="shared" si="174"/>
        <v>35430</v>
      </c>
      <c r="E259" s="70">
        <f t="shared" si="174"/>
        <v>0</v>
      </c>
      <c r="F259" s="70">
        <f t="shared" si="136"/>
        <v>35430</v>
      </c>
      <c r="G259" s="70">
        <f t="shared" si="137"/>
        <v>0</v>
      </c>
      <c r="H259" s="70">
        <f t="shared" si="138"/>
        <v>0</v>
      </c>
      <c r="J259" s="103"/>
    </row>
    <row r="260" spans="1:10" s="3" customFormat="1" ht="46.8" x14ac:dyDescent="0.3">
      <c r="A260" s="71" t="s">
        <v>435</v>
      </c>
      <c r="B260" s="35" t="s">
        <v>431</v>
      </c>
      <c r="C260" s="11">
        <f>0+35430</f>
        <v>35430</v>
      </c>
      <c r="D260" s="11">
        <f t="shared" ref="D260" si="175">0+35430</f>
        <v>35430</v>
      </c>
      <c r="E260" s="11">
        <v>0</v>
      </c>
      <c r="F260" s="11">
        <f t="shared" si="136"/>
        <v>35430</v>
      </c>
      <c r="G260" s="11">
        <f t="shared" si="137"/>
        <v>0</v>
      </c>
      <c r="H260" s="11">
        <f t="shared" si="138"/>
        <v>0</v>
      </c>
      <c r="J260" s="103"/>
    </row>
    <row r="261" spans="1:10" s="8" customFormat="1" ht="31.2" x14ac:dyDescent="0.3">
      <c r="A261" s="14" t="s">
        <v>201</v>
      </c>
      <c r="B261" s="6" t="s">
        <v>46</v>
      </c>
      <c r="C261" s="19">
        <f>C262</f>
        <v>296926134.56</v>
      </c>
      <c r="D261" s="19">
        <f t="shared" ref="D261:E262" si="176">D262</f>
        <v>333987525.57999998</v>
      </c>
      <c r="E261" s="19">
        <f t="shared" si="176"/>
        <v>101316417.36</v>
      </c>
      <c r="F261" s="19">
        <f t="shared" si="136"/>
        <v>232671108.22</v>
      </c>
      <c r="G261" s="19">
        <f t="shared" si="137"/>
        <v>34.119999999999997</v>
      </c>
      <c r="H261" s="19">
        <f t="shared" si="138"/>
        <v>30.34</v>
      </c>
      <c r="J261" s="103"/>
    </row>
    <row r="262" spans="1:10" s="8" customFormat="1" ht="31.2" x14ac:dyDescent="0.3">
      <c r="A262" s="15" t="s">
        <v>199</v>
      </c>
      <c r="B262" s="6" t="s">
        <v>143</v>
      </c>
      <c r="C262" s="19">
        <f>C263</f>
        <v>296926134.56</v>
      </c>
      <c r="D262" s="19">
        <f t="shared" si="176"/>
        <v>333987525.57999998</v>
      </c>
      <c r="E262" s="19">
        <f t="shared" si="176"/>
        <v>101316417.36</v>
      </c>
      <c r="F262" s="19">
        <f t="shared" si="136"/>
        <v>232671108.22</v>
      </c>
      <c r="G262" s="19">
        <f t="shared" si="137"/>
        <v>34.119999999999997</v>
      </c>
      <c r="H262" s="19">
        <f t="shared" si="138"/>
        <v>30.34</v>
      </c>
      <c r="J262" s="103"/>
    </row>
    <row r="263" spans="1:10" s="8" customFormat="1" ht="15.6" x14ac:dyDescent="0.3">
      <c r="A263" s="15" t="s">
        <v>200</v>
      </c>
      <c r="B263" s="6" t="s">
        <v>140</v>
      </c>
      <c r="C263" s="19">
        <f>SUM(C264:C290)</f>
        <v>296926134.56</v>
      </c>
      <c r="D263" s="19">
        <f t="shared" ref="D263:E263" si="177">SUM(D264:D290)</f>
        <v>333987525.57999998</v>
      </c>
      <c r="E263" s="19">
        <f t="shared" si="177"/>
        <v>101316417.36</v>
      </c>
      <c r="F263" s="19">
        <f t="shared" si="136"/>
        <v>232671108.22</v>
      </c>
      <c r="G263" s="19">
        <f t="shared" si="137"/>
        <v>34.119999999999997</v>
      </c>
      <c r="H263" s="19">
        <f t="shared" si="138"/>
        <v>30.34</v>
      </c>
      <c r="J263" s="103"/>
    </row>
    <row r="264" spans="1:10" s="12" customFormat="1" ht="15.6" x14ac:dyDescent="0.3">
      <c r="A264" s="20" t="s">
        <v>280</v>
      </c>
      <c r="B264" s="4" t="s">
        <v>84</v>
      </c>
      <c r="C264" s="21">
        <f>4044315.13</f>
        <v>4044315.13</v>
      </c>
      <c r="D264" s="21">
        <f t="shared" ref="D264" si="178">4044315.13+500000</f>
        <v>4544315.13</v>
      </c>
      <c r="E264" s="21">
        <v>959151.73</v>
      </c>
      <c r="F264" s="11">
        <f t="shared" ref="F264:F291" si="179">$D264-$E264</f>
        <v>3585163.4</v>
      </c>
      <c r="G264" s="21">
        <f t="shared" si="137"/>
        <v>23.72</v>
      </c>
      <c r="H264" s="21">
        <f t="shared" si="138"/>
        <v>21.11</v>
      </c>
      <c r="J264" s="103"/>
    </row>
    <row r="265" spans="1:10" s="12" customFormat="1" ht="31.2" x14ac:dyDescent="0.3">
      <c r="A265" s="20" t="s">
        <v>30</v>
      </c>
      <c r="B265" s="4" t="s">
        <v>85</v>
      </c>
      <c r="C265" s="45">
        <f>146847792.53</f>
        <v>146847792.53</v>
      </c>
      <c r="D265" s="45">
        <f t="shared" ref="D265" si="180">146847792.53+300000+2923978.33+100000+500000</f>
        <v>150671770.86000001</v>
      </c>
      <c r="E265" s="45">
        <v>36415476.460000001</v>
      </c>
      <c r="F265" s="11">
        <f t="shared" si="179"/>
        <v>114256294.40000001</v>
      </c>
      <c r="G265" s="45">
        <f t="shared" ref="G265:G291" si="181">$E265/$C265*100</f>
        <v>24.8</v>
      </c>
      <c r="H265" s="45">
        <f t="shared" ref="H265:H291" si="182">$E265/$D265*100</f>
        <v>24.17</v>
      </c>
      <c r="J265" s="103"/>
    </row>
    <row r="266" spans="1:10" s="12" customFormat="1" ht="15.6" x14ac:dyDescent="0.3">
      <c r="A266" s="20" t="s">
        <v>286</v>
      </c>
      <c r="B266" s="4" t="s">
        <v>86</v>
      </c>
      <c r="C266" s="21">
        <v>3417600</v>
      </c>
      <c r="D266" s="21">
        <v>3417600</v>
      </c>
      <c r="E266" s="21">
        <v>686527.42</v>
      </c>
      <c r="F266" s="11">
        <f t="shared" si="179"/>
        <v>2731072.58</v>
      </c>
      <c r="G266" s="21">
        <f t="shared" si="181"/>
        <v>20.09</v>
      </c>
      <c r="H266" s="21">
        <f t="shared" si="182"/>
        <v>20.09</v>
      </c>
      <c r="J266" s="103"/>
    </row>
    <row r="267" spans="1:10" s="12" customFormat="1" ht="15.6" x14ac:dyDescent="0.3">
      <c r="A267" s="20" t="s">
        <v>287</v>
      </c>
      <c r="B267" s="4" t="s">
        <v>304</v>
      </c>
      <c r="C267" s="21">
        <v>1863200</v>
      </c>
      <c r="D267" s="21">
        <v>1863200</v>
      </c>
      <c r="E267" s="21">
        <v>346182.21</v>
      </c>
      <c r="F267" s="11">
        <f t="shared" si="179"/>
        <v>1517017.79</v>
      </c>
      <c r="G267" s="21">
        <f t="shared" si="181"/>
        <v>18.579999999999998</v>
      </c>
      <c r="H267" s="21">
        <f t="shared" si="182"/>
        <v>18.579999999999998</v>
      </c>
      <c r="J267" s="103"/>
    </row>
    <row r="268" spans="1:10" s="12" customFormat="1" ht="15.6" x14ac:dyDescent="0.3">
      <c r="A268" s="20" t="s">
        <v>31</v>
      </c>
      <c r="B268" s="4" t="s">
        <v>87</v>
      </c>
      <c r="C268" s="21">
        <v>2277050.08</v>
      </c>
      <c r="D268" s="21">
        <v>2277050.08</v>
      </c>
      <c r="E268" s="21">
        <v>542761.89</v>
      </c>
      <c r="F268" s="11">
        <f t="shared" si="179"/>
        <v>1734288.19</v>
      </c>
      <c r="G268" s="21">
        <f t="shared" si="181"/>
        <v>23.84</v>
      </c>
      <c r="H268" s="21">
        <f t="shared" si="182"/>
        <v>23.84</v>
      </c>
      <c r="J268" s="103"/>
    </row>
    <row r="269" spans="1:10" s="12" customFormat="1" ht="15.6" x14ac:dyDescent="0.3">
      <c r="A269" s="20" t="s">
        <v>422</v>
      </c>
      <c r="B269" s="4" t="s">
        <v>88</v>
      </c>
      <c r="C269" s="11">
        <f>18000000</f>
        <v>18000000</v>
      </c>
      <c r="D269" s="11">
        <f t="shared" ref="D269" si="183">18000000+7000000</f>
        <v>25000000</v>
      </c>
      <c r="E269" s="11">
        <v>21342525.870000001</v>
      </c>
      <c r="F269" s="11">
        <f t="shared" si="179"/>
        <v>3657474.13</v>
      </c>
      <c r="G269" s="11">
        <f t="shared" si="181"/>
        <v>118.57</v>
      </c>
      <c r="H269" s="11">
        <f t="shared" si="182"/>
        <v>85.37</v>
      </c>
      <c r="J269" s="103"/>
    </row>
    <row r="270" spans="1:10" s="12" customFormat="1" ht="31.2" x14ac:dyDescent="0.3">
      <c r="A270" s="20" t="s">
        <v>421</v>
      </c>
      <c r="B270" s="4" t="s">
        <v>420</v>
      </c>
      <c r="C270" s="11">
        <v>4000000</v>
      </c>
      <c r="D270" s="11">
        <v>4000000</v>
      </c>
      <c r="E270" s="11">
        <v>0</v>
      </c>
      <c r="F270" s="11">
        <f t="shared" si="179"/>
        <v>4000000</v>
      </c>
      <c r="G270" s="11">
        <f t="shared" si="181"/>
        <v>0</v>
      </c>
      <c r="H270" s="11">
        <f t="shared" si="182"/>
        <v>0</v>
      </c>
      <c r="J270" s="103"/>
    </row>
    <row r="271" spans="1:10" s="12" customFormat="1" ht="15.6" x14ac:dyDescent="0.3">
      <c r="A271" s="20" t="s">
        <v>29</v>
      </c>
      <c r="B271" s="4" t="s">
        <v>89</v>
      </c>
      <c r="C271" s="21">
        <v>100000</v>
      </c>
      <c r="D271" s="21">
        <v>163645.5</v>
      </c>
      <c r="E271" s="21">
        <v>163645.5</v>
      </c>
      <c r="F271" s="21">
        <f t="shared" si="179"/>
        <v>0</v>
      </c>
      <c r="G271" s="21">
        <f t="shared" si="181"/>
        <v>163.65</v>
      </c>
      <c r="H271" s="21">
        <f t="shared" si="182"/>
        <v>100</v>
      </c>
      <c r="J271" s="103"/>
    </row>
    <row r="272" spans="1:10" s="12" customFormat="1" ht="15.6" x14ac:dyDescent="0.3">
      <c r="A272" s="20" t="s">
        <v>27</v>
      </c>
      <c r="B272" s="4" t="s">
        <v>243</v>
      </c>
      <c r="C272" s="11">
        <v>25000</v>
      </c>
      <c r="D272" s="11">
        <v>25000</v>
      </c>
      <c r="E272" s="11">
        <v>3662.26</v>
      </c>
      <c r="F272" s="11">
        <f t="shared" si="179"/>
        <v>21337.74</v>
      </c>
      <c r="G272" s="11">
        <f t="shared" si="181"/>
        <v>14.65</v>
      </c>
      <c r="H272" s="11">
        <f t="shared" si="182"/>
        <v>14.65</v>
      </c>
      <c r="J272" s="103"/>
    </row>
    <row r="273" spans="1:10" s="12" customFormat="1" ht="31.2" outlineLevel="5" x14ac:dyDescent="0.3">
      <c r="A273" s="10" t="s">
        <v>288</v>
      </c>
      <c r="B273" s="4" t="s">
        <v>312</v>
      </c>
      <c r="C273" s="11">
        <f>200000</f>
        <v>200000</v>
      </c>
      <c r="D273" s="11">
        <f t="shared" ref="D273" si="184">200000+350000</f>
        <v>550000</v>
      </c>
      <c r="E273" s="11">
        <v>199526</v>
      </c>
      <c r="F273" s="11">
        <f t="shared" si="179"/>
        <v>350474</v>
      </c>
      <c r="G273" s="11">
        <f t="shared" si="181"/>
        <v>99.76</v>
      </c>
      <c r="H273" s="11">
        <f t="shared" si="182"/>
        <v>36.28</v>
      </c>
      <c r="J273" s="103"/>
    </row>
    <row r="274" spans="1:10" s="12" customFormat="1" ht="15.6" outlineLevel="5" x14ac:dyDescent="0.3">
      <c r="A274" s="41" t="s">
        <v>524</v>
      </c>
      <c r="B274" s="72" t="s">
        <v>423</v>
      </c>
      <c r="C274" s="11">
        <f>400000</f>
        <v>400000</v>
      </c>
      <c r="D274" s="11">
        <v>882440.15</v>
      </c>
      <c r="E274" s="11">
        <v>62812.07</v>
      </c>
      <c r="F274" s="11">
        <f t="shared" si="179"/>
        <v>819628.08</v>
      </c>
      <c r="G274" s="11">
        <f t="shared" si="181"/>
        <v>15.7</v>
      </c>
      <c r="H274" s="11">
        <f t="shared" si="182"/>
        <v>7.12</v>
      </c>
      <c r="J274" s="103"/>
    </row>
    <row r="275" spans="1:10" s="12" customFormat="1" ht="15.6" outlineLevel="5" x14ac:dyDescent="0.3">
      <c r="A275" s="41" t="s">
        <v>267</v>
      </c>
      <c r="B275" s="72" t="s">
        <v>92</v>
      </c>
      <c r="C275" s="11">
        <v>0</v>
      </c>
      <c r="D275" s="11">
        <v>3532797.46</v>
      </c>
      <c r="E275" s="11">
        <v>2918490.86</v>
      </c>
      <c r="F275" s="11">
        <f t="shared" si="179"/>
        <v>614306.6</v>
      </c>
      <c r="G275" s="11" t="s">
        <v>540</v>
      </c>
      <c r="H275" s="11">
        <f t="shared" si="182"/>
        <v>82.61</v>
      </c>
      <c r="J275" s="103"/>
    </row>
    <row r="276" spans="1:10" s="12" customFormat="1" ht="31.2" x14ac:dyDescent="0.3">
      <c r="A276" s="10" t="s">
        <v>36</v>
      </c>
      <c r="B276" s="4" t="s">
        <v>90</v>
      </c>
      <c r="C276" s="61">
        <f>1125280</f>
        <v>1125280</v>
      </c>
      <c r="D276" s="61">
        <v>6931316.5</v>
      </c>
      <c r="E276" s="61">
        <v>910119.09</v>
      </c>
      <c r="F276" s="61">
        <f t="shared" si="179"/>
        <v>6021197.4100000001</v>
      </c>
      <c r="G276" s="61">
        <f t="shared" si="181"/>
        <v>80.88</v>
      </c>
      <c r="H276" s="61">
        <f t="shared" si="182"/>
        <v>13.13</v>
      </c>
      <c r="J276" s="103"/>
    </row>
    <row r="277" spans="1:10" s="12" customFormat="1" ht="31.2" x14ac:dyDescent="0.3">
      <c r="A277" s="10" t="s">
        <v>481</v>
      </c>
      <c r="B277" s="4" t="s">
        <v>480</v>
      </c>
      <c r="C277" s="61">
        <f>1200000</f>
        <v>1200000</v>
      </c>
      <c r="D277" s="61">
        <f t="shared" ref="D277" si="185">1200000+2200000</f>
        <v>3400000</v>
      </c>
      <c r="E277" s="61">
        <v>1293542.75</v>
      </c>
      <c r="F277" s="61">
        <f t="shared" si="179"/>
        <v>2106457.25</v>
      </c>
      <c r="G277" s="61">
        <f t="shared" si="181"/>
        <v>107.8</v>
      </c>
      <c r="H277" s="61">
        <f t="shared" si="182"/>
        <v>38.049999999999997</v>
      </c>
      <c r="J277" s="103"/>
    </row>
    <row r="278" spans="1:10" s="12" customFormat="1" ht="31.2" x14ac:dyDescent="0.3">
      <c r="A278" s="10" t="s">
        <v>525</v>
      </c>
      <c r="B278" s="4" t="s">
        <v>526</v>
      </c>
      <c r="C278" s="61">
        <v>0</v>
      </c>
      <c r="D278" s="61">
        <f t="shared" ref="D278" si="186">0+77890</f>
        <v>77890</v>
      </c>
      <c r="E278" s="61">
        <v>0</v>
      </c>
      <c r="F278" s="61">
        <f t="shared" si="179"/>
        <v>77890</v>
      </c>
      <c r="G278" s="61" t="s">
        <v>540</v>
      </c>
      <c r="H278" s="61">
        <f t="shared" si="182"/>
        <v>0</v>
      </c>
      <c r="J278" s="103"/>
    </row>
    <row r="279" spans="1:10" s="12" customFormat="1" ht="15.6" x14ac:dyDescent="0.3">
      <c r="A279" s="10" t="s">
        <v>157</v>
      </c>
      <c r="B279" s="4" t="s">
        <v>527</v>
      </c>
      <c r="C279" s="61">
        <v>0</v>
      </c>
      <c r="D279" s="61">
        <v>115227.12</v>
      </c>
      <c r="E279" s="61">
        <v>115227.12</v>
      </c>
      <c r="F279" s="61">
        <f t="shared" si="179"/>
        <v>0</v>
      </c>
      <c r="G279" s="61" t="s">
        <v>540</v>
      </c>
      <c r="H279" s="61">
        <f t="shared" si="182"/>
        <v>100</v>
      </c>
      <c r="J279" s="103"/>
    </row>
    <row r="280" spans="1:10" s="12" customFormat="1" ht="46.8" x14ac:dyDescent="0.3">
      <c r="A280" s="24" t="s">
        <v>32</v>
      </c>
      <c r="B280" s="5" t="s">
        <v>142</v>
      </c>
      <c r="C280" s="11">
        <f>2637416</f>
        <v>2637416</v>
      </c>
      <c r="D280" s="11">
        <f t="shared" ref="D280" si="187">2637416-65330.06-19781.94</f>
        <v>2552304</v>
      </c>
      <c r="E280" s="11">
        <v>402139</v>
      </c>
      <c r="F280" s="11">
        <f t="shared" si="179"/>
        <v>2150165</v>
      </c>
      <c r="G280" s="11">
        <f t="shared" si="181"/>
        <v>15.25</v>
      </c>
      <c r="H280" s="11">
        <f t="shared" si="182"/>
        <v>15.76</v>
      </c>
      <c r="J280" s="103"/>
    </row>
    <row r="281" spans="1:10" s="12" customFormat="1" ht="46.8" x14ac:dyDescent="0.3">
      <c r="A281" s="73" t="s">
        <v>48</v>
      </c>
      <c r="B281" s="4" t="s">
        <v>202</v>
      </c>
      <c r="C281" s="21">
        <f>18036</f>
        <v>18036</v>
      </c>
      <c r="D281" s="21">
        <f t="shared" ref="D281" si="188">18036+11512</f>
        <v>29548</v>
      </c>
      <c r="E281" s="21">
        <v>0</v>
      </c>
      <c r="F281" s="21">
        <f t="shared" si="179"/>
        <v>29548</v>
      </c>
      <c r="G281" s="21">
        <f t="shared" si="181"/>
        <v>0</v>
      </c>
      <c r="H281" s="21">
        <f t="shared" si="182"/>
        <v>0</v>
      </c>
      <c r="J281" s="103"/>
    </row>
    <row r="282" spans="1:10" s="12" customFormat="1" ht="78" x14ac:dyDescent="0.3">
      <c r="A282" s="74" t="s">
        <v>311</v>
      </c>
      <c r="B282" s="4" t="s">
        <v>67</v>
      </c>
      <c r="C282" s="11">
        <f>1106149</f>
        <v>1106149</v>
      </c>
      <c r="D282" s="11">
        <f t="shared" ref="D282" si="189">1106149+510003</f>
        <v>1616152</v>
      </c>
      <c r="E282" s="11">
        <v>287287.82</v>
      </c>
      <c r="F282" s="11">
        <f t="shared" si="179"/>
        <v>1328864.18</v>
      </c>
      <c r="G282" s="11">
        <f t="shared" si="181"/>
        <v>25.97</v>
      </c>
      <c r="H282" s="11">
        <f t="shared" si="182"/>
        <v>17.78</v>
      </c>
      <c r="J282" s="103"/>
    </row>
    <row r="283" spans="1:10" s="12" customFormat="1" ht="31.2" x14ac:dyDescent="0.3">
      <c r="A283" s="20" t="s">
        <v>40</v>
      </c>
      <c r="B283" s="4" t="s">
        <v>91</v>
      </c>
      <c r="C283" s="21">
        <f>102306465.88</f>
        <v>102306465.88</v>
      </c>
      <c r="D283" s="21">
        <f t="shared" ref="D283" si="190">102306465.88+11662301.12+1300000</f>
        <v>115268767</v>
      </c>
      <c r="E283" s="21">
        <v>33517208.100000001</v>
      </c>
      <c r="F283" s="21">
        <f t="shared" si="179"/>
        <v>81751558.900000006</v>
      </c>
      <c r="G283" s="21">
        <f t="shared" si="181"/>
        <v>32.76</v>
      </c>
      <c r="H283" s="21">
        <f t="shared" si="182"/>
        <v>29.08</v>
      </c>
      <c r="J283" s="103"/>
    </row>
    <row r="284" spans="1:10" s="12" customFormat="1" ht="31.2" x14ac:dyDescent="0.3">
      <c r="A284" s="20" t="s">
        <v>33</v>
      </c>
      <c r="B284" s="4" t="s">
        <v>317</v>
      </c>
      <c r="C284" s="21">
        <f>1672275.22</f>
        <v>1672275.22</v>
      </c>
      <c r="D284" s="21">
        <f t="shared" ref="D284" si="191">1672275.22+3599</f>
        <v>1675874.22</v>
      </c>
      <c r="E284" s="21">
        <v>370625.95</v>
      </c>
      <c r="F284" s="21">
        <f t="shared" si="179"/>
        <v>1305248.27</v>
      </c>
      <c r="G284" s="21">
        <f t="shared" si="181"/>
        <v>22.16</v>
      </c>
      <c r="H284" s="21">
        <f t="shared" si="182"/>
        <v>22.12</v>
      </c>
      <c r="J284" s="103"/>
    </row>
    <row r="285" spans="1:10" s="12" customFormat="1" ht="31.2" x14ac:dyDescent="0.3">
      <c r="A285" s="20" t="s">
        <v>35</v>
      </c>
      <c r="B285" s="4" t="s">
        <v>318</v>
      </c>
      <c r="C285" s="21">
        <v>1275735.78</v>
      </c>
      <c r="D285" s="21">
        <v>1275735.78</v>
      </c>
      <c r="E285" s="21">
        <v>168744.53</v>
      </c>
      <c r="F285" s="21">
        <f t="shared" si="179"/>
        <v>1106991.25</v>
      </c>
      <c r="G285" s="21">
        <f t="shared" si="181"/>
        <v>13.23</v>
      </c>
      <c r="H285" s="21">
        <f t="shared" si="182"/>
        <v>13.23</v>
      </c>
      <c r="J285" s="103"/>
    </row>
    <row r="286" spans="1:10" s="12" customFormat="1" ht="46.8" x14ac:dyDescent="0.3">
      <c r="A286" s="24" t="s">
        <v>34</v>
      </c>
      <c r="B286" s="75" t="s">
        <v>141</v>
      </c>
      <c r="C286" s="11">
        <f>1219463</f>
        <v>1219463</v>
      </c>
      <c r="D286" s="11">
        <f t="shared" ref="D286" si="192">1219463+1486</f>
        <v>1220949</v>
      </c>
      <c r="E286" s="11">
        <v>192945</v>
      </c>
      <c r="F286" s="11">
        <f t="shared" si="179"/>
        <v>1028004</v>
      </c>
      <c r="G286" s="11">
        <f t="shared" si="181"/>
        <v>15.82</v>
      </c>
      <c r="H286" s="11">
        <f t="shared" si="182"/>
        <v>15.8</v>
      </c>
      <c r="J286" s="103"/>
    </row>
    <row r="287" spans="1:10" s="12" customFormat="1" ht="46.8" x14ac:dyDescent="0.3">
      <c r="A287" s="76" t="s">
        <v>64</v>
      </c>
      <c r="B287" s="26" t="s">
        <v>263</v>
      </c>
      <c r="C287" s="11">
        <f>5372.86</f>
        <v>5372.86</v>
      </c>
      <c r="D287" s="11">
        <f t="shared" ref="D287" si="193">5372.86+19.84+6</f>
        <v>5398.7</v>
      </c>
      <c r="E287" s="11">
        <v>0</v>
      </c>
      <c r="F287" s="11">
        <f t="shared" si="179"/>
        <v>5398.7</v>
      </c>
      <c r="G287" s="11">
        <f t="shared" si="181"/>
        <v>0</v>
      </c>
      <c r="H287" s="11">
        <f t="shared" si="182"/>
        <v>0</v>
      </c>
      <c r="J287" s="103"/>
    </row>
    <row r="288" spans="1:10" s="12" customFormat="1" ht="46.8" x14ac:dyDescent="0.3">
      <c r="A288" s="41" t="s">
        <v>325</v>
      </c>
      <c r="B288" s="26" t="s">
        <v>74</v>
      </c>
      <c r="C288" s="11">
        <v>3387.08</v>
      </c>
      <c r="D288" s="11">
        <v>3387.08</v>
      </c>
      <c r="E288" s="11">
        <v>0</v>
      </c>
      <c r="F288" s="11">
        <f t="shared" si="179"/>
        <v>3387.08</v>
      </c>
      <c r="G288" s="11">
        <f t="shared" si="181"/>
        <v>0</v>
      </c>
      <c r="H288" s="11">
        <f t="shared" si="182"/>
        <v>0</v>
      </c>
      <c r="J288" s="103"/>
    </row>
    <row r="289" spans="1:10" s="12" customFormat="1" ht="46.8" x14ac:dyDescent="0.3">
      <c r="A289" s="54" t="s">
        <v>138</v>
      </c>
      <c r="B289" s="30" t="s">
        <v>203</v>
      </c>
      <c r="C289" s="21">
        <f>2607137</f>
        <v>2607137</v>
      </c>
      <c r="D289" s="21">
        <f t="shared" ref="D289" si="194">2607137+3153</f>
        <v>2610290</v>
      </c>
      <c r="E289" s="21">
        <v>407730</v>
      </c>
      <c r="F289" s="21">
        <f t="shared" si="179"/>
        <v>2202560</v>
      </c>
      <c r="G289" s="21">
        <f t="shared" si="181"/>
        <v>15.64</v>
      </c>
      <c r="H289" s="21">
        <f t="shared" si="182"/>
        <v>15.62</v>
      </c>
      <c r="J289" s="103"/>
    </row>
    <row r="290" spans="1:10" s="12" customFormat="1" ht="46.8" x14ac:dyDescent="0.3">
      <c r="A290" s="77" t="s">
        <v>281</v>
      </c>
      <c r="B290" s="5" t="s">
        <v>107</v>
      </c>
      <c r="C290" s="11">
        <f>574459</f>
        <v>574459</v>
      </c>
      <c r="D290" s="11">
        <f t="shared" ref="D290" si="195">574459-228424.93-69167.07</f>
        <v>276867</v>
      </c>
      <c r="E290" s="11">
        <v>10085.73</v>
      </c>
      <c r="F290" s="11">
        <f t="shared" si="179"/>
        <v>266781.27</v>
      </c>
      <c r="G290" s="11">
        <f t="shared" si="181"/>
        <v>1.76</v>
      </c>
      <c r="H290" s="11">
        <f t="shared" si="182"/>
        <v>3.64</v>
      </c>
      <c r="J290" s="103"/>
    </row>
    <row r="291" spans="1:10" s="12" customFormat="1" ht="15.6" customHeight="1" x14ac:dyDescent="0.3">
      <c r="A291" s="15" t="s">
        <v>28</v>
      </c>
      <c r="B291" s="6"/>
      <c r="C291" s="19">
        <f>C8+C11+C68+C83+C112+C150+C157+C169+C178+C193+C198+C202+C213+C217+C223+C229+C261+C257</f>
        <v>1493319295.72</v>
      </c>
      <c r="D291" s="19">
        <f t="shared" ref="D291:E291" si="196">D8+D11+D68+D83+D112+D150+D157+D169+D178+D193+D198+D202+D213+D217+D223+D229+D261+D257</f>
        <v>1572535401.4300001</v>
      </c>
      <c r="E291" s="19">
        <f t="shared" si="196"/>
        <v>350697891.04000002</v>
      </c>
      <c r="F291" s="19">
        <f t="shared" si="179"/>
        <v>1221837510.3900001</v>
      </c>
      <c r="G291" s="19">
        <f t="shared" si="181"/>
        <v>23.48</v>
      </c>
      <c r="H291" s="19">
        <f t="shared" si="182"/>
        <v>22.3</v>
      </c>
      <c r="J291" s="103"/>
    </row>
    <row r="292" spans="1:10" s="12" customFormat="1" ht="15" x14ac:dyDescent="0.25">
      <c r="A292" s="78"/>
      <c r="C292" s="79"/>
      <c r="D292" s="80"/>
      <c r="E292" s="79"/>
    </row>
    <row r="293" spans="1:10" s="8" customFormat="1" ht="15" customHeight="1" x14ac:dyDescent="0.3">
      <c r="A293" s="78"/>
      <c r="B293" s="12"/>
      <c r="C293" s="12"/>
      <c r="D293" s="81"/>
      <c r="E293" s="12"/>
    </row>
    <row r="294" spans="1:10" s="8" customFormat="1" ht="15.6" x14ac:dyDescent="0.3">
      <c r="A294" s="82"/>
      <c r="B294" s="12"/>
      <c r="C294" s="52"/>
      <c r="D294" s="83"/>
      <c r="E294" s="52"/>
    </row>
    <row r="295" spans="1:10" s="8" customFormat="1" ht="15.6" x14ac:dyDescent="0.3">
      <c r="A295" s="78"/>
      <c r="B295" s="12"/>
      <c r="C295" s="52"/>
      <c r="D295" s="52"/>
      <c r="E295" s="52"/>
    </row>
    <row r="296" spans="1:10" s="8" customFormat="1" ht="15.6" x14ac:dyDescent="0.3">
      <c r="A296" s="82"/>
      <c r="B296" s="12"/>
      <c r="C296" s="52"/>
      <c r="D296" s="52"/>
      <c r="E296" s="52"/>
    </row>
    <row r="297" spans="1:10" s="8" customFormat="1" ht="15.6" x14ac:dyDescent="0.3">
      <c r="A297" s="78"/>
      <c r="B297" s="12"/>
      <c r="C297" s="52"/>
      <c r="D297" s="52"/>
      <c r="E297" s="52"/>
    </row>
    <row r="298" spans="1:10" s="8" customFormat="1" ht="15.6" x14ac:dyDescent="0.3">
      <c r="A298" s="78"/>
      <c r="B298" s="12"/>
      <c r="C298" s="52"/>
      <c r="D298" s="52"/>
      <c r="E298" s="52"/>
    </row>
    <row r="299" spans="1:10" s="8" customFormat="1" ht="15.6" x14ac:dyDescent="0.3">
      <c r="A299" s="78"/>
      <c r="B299" s="12"/>
      <c r="C299" s="12"/>
      <c r="D299" s="81"/>
    </row>
    <row r="300" spans="1:10" s="8" customFormat="1" ht="15.6" x14ac:dyDescent="0.3">
      <c r="A300" s="78"/>
      <c r="B300" s="12"/>
      <c r="C300" s="12"/>
      <c r="D300" s="81"/>
    </row>
    <row r="301" spans="1:10" s="8" customFormat="1" ht="15.6" x14ac:dyDescent="0.3">
      <c r="A301" s="78"/>
      <c r="B301" s="12"/>
      <c r="C301" s="12"/>
      <c r="D301" s="81"/>
    </row>
    <row r="302" spans="1:10" s="8" customFormat="1" ht="15.6" x14ac:dyDescent="0.3">
      <c r="A302" s="78"/>
      <c r="B302" s="12"/>
      <c r="C302" s="12"/>
      <c r="D302" s="81"/>
    </row>
    <row r="303" spans="1:10" s="8" customFormat="1" ht="15.6" x14ac:dyDescent="0.3">
      <c r="A303" s="78"/>
      <c r="B303" s="12"/>
      <c r="C303" s="12"/>
      <c r="D303" s="81"/>
    </row>
    <row r="304" spans="1:10" s="8" customFormat="1" ht="15.6" x14ac:dyDescent="0.3">
      <c r="A304" s="78"/>
      <c r="B304" s="12"/>
      <c r="C304" s="12"/>
      <c r="D304" s="81"/>
    </row>
    <row r="305" spans="1:4" s="8" customFormat="1" ht="15.6" x14ac:dyDescent="0.3">
      <c r="A305" s="78"/>
      <c r="B305" s="12"/>
      <c r="C305" s="12"/>
      <c r="D305" s="81"/>
    </row>
    <row r="306" spans="1:4" s="8" customFormat="1" ht="18.75" customHeight="1" x14ac:dyDescent="0.3">
      <c r="A306" s="78"/>
      <c r="B306" s="12"/>
      <c r="C306" s="12"/>
      <c r="D306" s="81"/>
    </row>
    <row r="307" spans="1:4" s="8" customFormat="1" ht="23.7" customHeight="1" x14ac:dyDescent="0.3">
      <c r="A307" s="78"/>
      <c r="B307" s="12"/>
      <c r="C307" s="12"/>
      <c r="D307" s="81"/>
    </row>
    <row r="308" spans="1:4" s="8" customFormat="1" ht="15" customHeight="1" x14ac:dyDescent="0.3">
      <c r="A308" s="78"/>
      <c r="B308" s="12"/>
      <c r="C308" s="12"/>
      <c r="D308" s="81"/>
    </row>
    <row r="309" spans="1:4" s="8" customFormat="1" ht="15.6" x14ac:dyDescent="0.3">
      <c r="A309" s="78"/>
      <c r="B309" s="12"/>
      <c r="C309" s="12"/>
      <c r="D309" s="81"/>
    </row>
    <row r="310" spans="1:4" s="8" customFormat="1" ht="15.9" customHeight="1" x14ac:dyDescent="0.3">
      <c r="A310" s="78"/>
      <c r="B310" s="12"/>
      <c r="C310" s="12"/>
      <c r="D310" s="81"/>
    </row>
    <row r="311" spans="1:4" ht="15" x14ac:dyDescent="0.25">
      <c r="A311" s="78"/>
      <c r="B311" s="12"/>
      <c r="C311" s="12"/>
      <c r="D311" s="81"/>
    </row>
    <row r="312" spans="1:4" ht="12.9" customHeight="1" x14ac:dyDescent="0.25">
      <c r="A312" s="78"/>
      <c r="B312" s="12"/>
      <c r="C312" s="12"/>
      <c r="D312" s="81"/>
    </row>
    <row r="313" spans="1:4" ht="15" x14ac:dyDescent="0.25">
      <c r="A313" s="78"/>
      <c r="B313" s="12"/>
      <c r="C313" s="12"/>
      <c r="D313" s="81"/>
    </row>
    <row r="314" spans="1:4" ht="15" x14ac:dyDescent="0.25">
      <c r="A314" s="78"/>
      <c r="B314" s="12"/>
      <c r="C314" s="12"/>
      <c r="D314" s="81"/>
    </row>
  </sheetData>
  <mergeCells count="2">
    <mergeCell ref="F3:H3"/>
    <mergeCell ref="A4:H4"/>
  </mergeCells>
  <pageMargins left="0.98425196850393704" right="0.59055118110236227" top="0.35433070866141736" bottom="0.43307086614173229" header="0.15748031496062992" footer="0.31496062992125984"/>
  <pageSetup paperSize="9" scale="57" fitToHeight="17" orientation="landscape" r:id="rId1"/>
  <headerFooter alignWithMargins="0">
    <oddHeader>&amp;R&amp;P</oddHeader>
  </headerFooter>
  <rowBreaks count="1" manualBreakCount="1">
    <brk id="28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пограммная 1 чтение</vt:lpstr>
      <vt:lpstr>'пограммная 1 чтение'!Область_печати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Пользователь Windows</cp:lastModifiedBy>
  <cp:lastPrinted>2024-12-19T04:25:19Z</cp:lastPrinted>
  <dcterms:created xsi:type="dcterms:W3CDTF">2002-10-08T15:02:13Z</dcterms:created>
  <dcterms:modified xsi:type="dcterms:W3CDTF">2025-05-06T05:10:12Z</dcterms:modified>
</cp:coreProperties>
</file>