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2" yWindow="-12" windowWidth="11616" windowHeight="9648" tabRatio="599"/>
  </bookViews>
  <sheets>
    <sheet name="ведомственная 1 чтение" sheetId="16" r:id="rId1"/>
  </sheets>
  <definedNames>
    <definedName name="_acc2" localSheetId="0">#REF!</definedName>
    <definedName name="_acc2">#REF!</definedName>
    <definedName name="_End1" localSheetId="0">#REF!</definedName>
    <definedName name="_End1">#REF!</definedName>
    <definedName name="_End10" localSheetId="0">#REF!</definedName>
    <definedName name="_End10">#REF!</definedName>
    <definedName name="_End11" localSheetId="0">#REF!</definedName>
    <definedName name="_End11">#REF!</definedName>
    <definedName name="_End12" localSheetId="0">#REF!</definedName>
    <definedName name="_End12">#REF!</definedName>
    <definedName name="_End13" localSheetId="0">#REF!</definedName>
    <definedName name="_End13">#REF!</definedName>
    <definedName name="_End14" localSheetId="0">#REF!</definedName>
    <definedName name="_End14">#REF!</definedName>
    <definedName name="_End15" localSheetId="0">#REF!</definedName>
    <definedName name="_End15">#REF!</definedName>
    <definedName name="_End16" localSheetId="0">#REF!</definedName>
    <definedName name="_End16">#REF!</definedName>
    <definedName name="_End17" localSheetId="0">#REF!</definedName>
    <definedName name="_End17">#REF!</definedName>
    <definedName name="_End18" localSheetId="0">#REF!</definedName>
    <definedName name="_End18">#REF!</definedName>
    <definedName name="_End19" localSheetId="0">#REF!</definedName>
    <definedName name="_End19">#REF!</definedName>
    <definedName name="_End2" localSheetId="0">#REF!</definedName>
    <definedName name="_End2">#REF!</definedName>
    <definedName name="_End20" localSheetId="0">#REF!</definedName>
    <definedName name="_End20">#REF!</definedName>
    <definedName name="_End21" localSheetId="0">#REF!</definedName>
    <definedName name="_End21">#REF!</definedName>
    <definedName name="_End22" localSheetId="0">#REF!</definedName>
    <definedName name="_End22">#REF!</definedName>
    <definedName name="_End23" localSheetId="0">#REF!</definedName>
    <definedName name="_End23">#REF!</definedName>
    <definedName name="_End24" localSheetId="0">#REF!</definedName>
    <definedName name="_End24">#REF!</definedName>
    <definedName name="_End25" localSheetId="0">#REF!</definedName>
    <definedName name="_End25">#REF!</definedName>
    <definedName name="_End26" localSheetId="0">#REF!</definedName>
    <definedName name="_End26">#REF!</definedName>
    <definedName name="_End27" localSheetId="0">#REF!</definedName>
    <definedName name="_End27">#REF!</definedName>
    <definedName name="_End28" localSheetId="0">#REF!</definedName>
    <definedName name="_End28">#REF!</definedName>
    <definedName name="_End29" localSheetId="0">#REF!</definedName>
    <definedName name="_End29">#REF!</definedName>
    <definedName name="_End3" localSheetId="0">#REF!</definedName>
    <definedName name="_End3">#REF!</definedName>
    <definedName name="_End30" localSheetId="0">#REF!</definedName>
    <definedName name="_End30">#REF!</definedName>
    <definedName name="_End31" localSheetId="0">#REF!</definedName>
    <definedName name="_End31">#REF!</definedName>
    <definedName name="_End32" localSheetId="0">#REF!</definedName>
    <definedName name="_End32">#REF!</definedName>
    <definedName name="_End33" localSheetId="0">#REF!</definedName>
    <definedName name="_End33">#REF!</definedName>
    <definedName name="_End34" localSheetId="0">#REF!</definedName>
    <definedName name="_End34">#REF!</definedName>
    <definedName name="_End35" localSheetId="0">#REF!</definedName>
    <definedName name="_End35">#REF!</definedName>
    <definedName name="_End36" localSheetId="0">#REF!</definedName>
    <definedName name="_End36">#REF!</definedName>
    <definedName name="_End37" localSheetId="0">#REF!</definedName>
    <definedName name="_End37">#REF!</definedName>
    <definedName name="_End38" localSheetId="0">#REF!</definedName>
    <definedName name="_End38">#REF!</definedName>
    <definedName name="_End39" localSheetId="0">#REF!</definedName>
    <definedName name="_End39">#REF!</definedName>
    <definedName name="_End4" localSheetId="0">#REF!</definedName>
    <definedName name="_End4">#REF!</definedName>
    <definedName name="_End40" localSheetId="0">#REF!</definedName>
    <definedName name="_End40">#REF!</definedName>
    <definedName name="_End41" localSheetId="0">#REF!</definedName>
    <definedName name="_End41">#REF!</definedName>
    <definedName name="_End42" localSheetId="0">#REF!</definedName>
    <definedName name="_End42">#REF!</definedName>
    <definedName name="_End43" localSheetId="0">#REF!</definedName>
    <definedName name="_End43">#REF!</definedName>
    <definedName name="_End44" localSheetId="0">#REF!</definedName>
    <definedName name="_End44">#REF!</definedName>
    <definedName name="_End45" localSheetId="0">#REF!</definedName>
    <definedName name="_End45">#REF!</definedName>
    <definedName name="_End46" localSheetId="0">#REF!</definedName>
    <definedName name="_End46">#REF!</definedName>
    <definedName name="_End47" localSheetId="0">#REF!</definedName>
    <definedName name="_End47">#REF!</definedName>
    <definedName name="_End48" localSheetId="0">#REF!</definedName>
    <definedName name="_End48">#REF!</definedName>
    <definedName name="_End49" localSheetId="0">#REF!</definedName>
    <definedName name="_End49">#REF!</definedName>
    <definedName name="_End5" localSheetId="0">#REF!</definedName>
    <definedName name="_End5">#REF!</definedName>
    <definedName name="_End50" localSheetId="0">#REF!</definedName>
    <definedName name="_End50">#REF!</definedName>
    <definedName name="_End6" localSheetId="0">#REF!</definedName>
    <definedName name="_End6">#REF!</definedName>
    <definedName name="_End7" localSheetId="0">#REF!</definedName>
    <definedName name="_End7">#REF!</definedName>
    <definedName name="_End8" localSheetId="0">#REF!</definedName>
    <definedName name="_End8">#REF!</definedName>
    <definedName name="_End9" localSheetId="0">#REF!</definedName>
    <definedName name="_End9">#REF!</definedName>
    <definedName name="_xlnm._FilterDatabase" localSheetId="0" hidden="1">'ведомственная 1 чтение'!$A$5:$J$523</definedName>
    <definedName name="add_bk" localSheetId="0">#REF!</definedName>
    <definedName name="add_bk">#REF!</definedName>
    <definedName name="add_bk_n" localSheetId="0">#REF!</definedName>
    <definedName name="add_bk_n">#REF!</definedName>
    <definedName name="Boss_FIO" localSheetId="0">#REF!</definedName>
    <definedName name="Boss_FIO">#REF!</definedName>
    <definedName name="Budget_Level" localSheetId="0">#REF!</definedName>
    <definedName name="Budget_Level">#REF!</definedName>
    <definedName name="Buh_Dol" localSheetId="0">#REF!</definedName>
    <definedName name="Buh_Dol">#REF!</definedName>
    <definedName name="Buh_FIO" localSheetId="0">#REF!</definedName>
    <definedName name="Buh_FIO">#REF!</definedName>
    <definedName name="cacc2" localSheetId="0">#REF!</definedName>
    <definedName name="cacc2">#REF!</definedName>
    <definedName name="cadd_bk" localSheetId="0">#REF!</definedName>
    <definedName name="cadd_bk">#REF!</definedName>
    <definedName name="cbk" localSheetId="0">#REF!</definedName>
    <definedName name="cbk">#REF!</definedName>
    <definedName name="cdep" localSheetId="0">#REF!</definedName>
    <definedName name="cdep">#REF!</definedName>
    <definedName name="cdiv" localSheetId="0">#REF!</definedName>
    <definedName name="cdiv">#REF!</definedName>
    <definedName name="cexp" localSheetId="0">#REF!</definedName>
    <definedName name="cexp">#REF!</definedName>
    <definedName name="Chef_Dol" localSheetId="0">#REF!</definedName>
    <definedName name="Chef_Dol">#REF!</definedName>
    <definedName name="Chef_FIO" localSheetId="0">#REF!</definedName>
    <definedName name="Chef_FIO">#REF!</definedName>
    <definedName name="citem" localSheetId="0">#REF!</definedName>
    <definedName name="citem">#REF!</definedName>
    <definedName name="citem1" localSheetId="0">#REF!</definedName>
    <definedName name="citem1">#REF!</definedName>
    <definedName name="citem2" localSheetId="0">#REF!</definedName>
    <definedName name="citem2">#REF!</definedName>
    <definedName name="cmdiv" localSheetId="0">#REF!</definedName>
    <definedName name="cmdiv">#REF!</definedName>
    <definedName name="corr02_n" localSheetId="0">#REF!</definedName>
    <definedName name="corr02_n">#REF!</definedName>
    <definedName name="corr2" localSheetId="0">#REF!</definedName>
    <definedName name="corr2">#REF!</definedName>
    <definedName name="corr2_cbp" localSheetId="0">#REF!</definedName>
    <definedName name="corr2_cbp">#REF!</definedName>
    <definedName name="corr2_inn" localSheetId="0">#REF!</definedName>
    <definedName name="corr2_inn">#REF!</definedName>
    <definedName name="corr2_n" localSheetId="0">#REF!</definedName>
    <definedName name="corr2_n">#REF!</definedName>
    <definedName name="csfin" localSheetId="0">#REF!</definedName>
    <definedName name="csfin">#REF!</definedName>
    <definedName name="ctgt" localSheetId="0">#REF!</definedName>
    <definedName name="ctgt">#REF!</definedName>
    <definedName name="ctgt3" localSheetId="0">#REF!</definedName>
    <definedName name="ctgt3">#REF!</definedName>
    <definedName name="ctgt5" localSheetId="0">#REF!</definedName>
    <definedName name="ctgt5">#REF!</definedName>
    <definedName name="CurentGroup" localSheetId="0">#REF!</definedName>
    <definedName name="CurentGroup">#REF!</definedName>
    <definedName name="CurRow" localSheetId="0">#REF!</definedName>
    <definedName name="CurRow">#REF!</definedName>
    <definedName name="Data" localSheetId="0">#REF!</definedName>
    <definedName name="Data">#REF!</definedName>
    <definedName name="DataFields" localSheetId="0">#REF!</definedName>
    <definedName name="DataFields">#REF!</definedName>
    <definedName name="date" localSheetId="0">#REF!</definedName>
    <definedName name="date">#REF!</definedName>
    <definedName name="dDate1" localSheetId="0">#REF!</definedName>
    <definedName name="dDate1">#REF!</definedName>
    <definedName name="dDate2" localSheetId="0">#REF!</definedName>
    <definedName name="dDate2">#REF!</definedName>
    <definedName name="dep" localSheetId="0">#REF!</definedName>
    <definedName name="dep">#REF!</definedName>
    <definedName name="dep_n" localSheetId="0">#REF!</definedName>
    <definedName name="dep_n">#REF!</definedName>
    <definedName name="div" localSheetId="0">#REF!</definedName>
    <definedName name="div">#REF!</definedName>
    <definedName name="div_n" localSheetId="0">#REF!</definedName>
    <definedName name="div_n">#REF!</definedName>
    <definedName name="EndPred" localSheetId="0">#REF!</definedName>
    <definedName name="EndPred">#REF!</definedName>
    <definedName name="EndRow" localSheetId="0">#REF!</definedName>
    <definedName name="EndRow">#REF!</definedName>
    <definedName name="exp" localSheetId="0">#REF!</definedName>
    <definedName name="exp">#REF!</definedName>
    <definedName name="exp_n" localSheetId="0">#REF!</definedName>
    <definedName name="exp_n">#REF!</definedName>
    <definedName name="Footer" localSheetId="0">#REF!</definedName>
    <definedName name="Footer">#REF!</definedName>
    <definedName name="GroupOrder" localSheetId="0">#REF!</definedName>
    <definedName name="GroupOrder">#REF!</definedName>
    <definedName name="item" localSheetId="0">#REF!</definedName>
    <definedName name="item">#REF!</definedName>
    <definedName name="item_n" localSheetId="0">#REF!</definedName>
    <definedName name="item_n">#REF!</definedName>
    <definedName name="item1_n" localSheetId="0">#REF!</definedName>
    <definedName name="item1_n">#REF!</definedName>
    <definedName name="item2_n" localSheetId="0">#REF!</definedName>
    <definedName name="item2_n">#REF!</definedName>
    <definedName name="izm" localSheetId="0">#REF!</definedName>
    <definedName name="izm">#REF!</definedName>
    <definedName name="link" localSheetId="0">#REF!</definedName>
    <definedName name="link">#REF!</definedName>
    <definedName name="mdiv_n" localSheetId="0">#REF!</definedName>
    <definedName name="mdiv_n">#REF!</definedName>
    <definedName name="NastrFields" localSheetId="0">#REF!</definedName>
    <definedName name="NastrFields">#REF!</definedName>
    <definedName name="nCheck_1" localSheetId="0">#REF!</definedName>
    <definedName name="nCheck_1">#REF!</definedName>
    <definedName name="nCheck_10" localSheetId="0">#REF!</definedName>
    <definedName name="nCheck_10">#REF!</definedName>
    <definedName name="nCheck_11" localSheetId="0">#REF!</definedName>
    <definedName name="nCheck_11">#REF!</definedName>
    <definedName name="nCheck_12" localSheetId="0">#REF!</definedName>
    <definedName name="nCheck_12">#REF!</definedName>
    <definedName name="nCheck_13" localSheetId="0">#REF!</definedName>
    <definedName name="nCheck_13">#REF!</definedName>
    <definedName name="nCheck_2" localSheetId="0">#REF!</definedName>
    <definedName name="nCheck_2">#REF!</definedName>
    <definedName name="nCheck_5" localSheetId="0">#REF!</definedName>
    <definedName name="nCheck_5">#REF!</definedName>
    <definedName name="nCheck_6" localSheetId="0">#REF!</definedName>
    <definedName name="nCheck_6">#REF!</definedName>
    <definedName name="nCheck_7" localSheetId="0">#REF!</definedName>
    <definedName name="nCheck_7">#REF!</definedName>
    <definedName name="nCheck_8" localSheetId="0">#REF!</definedName>
    <definedName name="nCheck_8">#REF!</definedName>
    <definedName name="nCheck_9" localSheetId="0">#REF!</definedName>
    <definedName name="nCheck_9">#REF!</definedName>
    <definedName name="nOtborLink1" localSheetId="0">#REF!</definedName>
    <definedName name="nOtborLink1">#REF!</definedName>
    <definedName name="nOtborLink10" localSheetId="0">#REF!</definedName>
    <definedName name="nOtborLink10">#REF!</definedName>
    <definedName name="nOtborLink11" localSheetId="0">#REF!</definedName>
    <definedName name="nOtborLink11">#REF!</definedName>
    <definedName name="nOtborLink12" localSheetId="0">#REF!</definedName>
    <definedName name="nOtborLink12">#REF!</definedName>
    <definedName name="nOtborLink2" localSheetId="0">#REF!</definedName>
    <definedName name="nOtborLink2">#REF!</definedName>
    <definedName name="nOtborLink3" localSheetId="0">#REF!</definedName>
    <definedName name="nOtborLink3">#REF!</definedName>
    <definedName name="nOtborLink4" localSheetId="0">#REF!</definedName>
    <definedName name="nOtborLink4">#REF!</definedName>
    <definedName name="nOtborLink5" localSheetId="0">#REF!</definedName>
    <definedName name="nOtborLink5">#REF!</definedName>
    <definedName name="nOtborLink6" localSheetId="0">#REF!</definedName>
    <definedName name="nOtborLink6">#REF!</definedName>
    <definedName name="nOtborLink7" localSheetId="0">#REF!</definedName>
    <definedName name="nOtborLink7">#REF!</definedName>
    <definedName name="nOtborLink8" localSheetId="0">#REF!</definedName>
    <definedName name="nOtborLink8">#REF!</definedName>
    <definedName name="number" localSheetId="0">#REF!</definedName>
    <definedName name="number">#REF!</definedName>
    <definedName name="obj_n" localSheetId="0">#REF!</definedName>
    <definedName name="obj_n">#REF!</definedName>
    <definedName name="PrevGroupName" localSheetId="0">#REF!</definedName>
    <definedName name="PrevGroupName">#REF!</definedName>
    <definedName name="PrevGroupValue" localSheetId="0">#REF!</definedName>
    <definedName name="PrevGroupValue">#REF!</definedName>
    <definedName name="Rash_Date" localSheetId="0">#REF!</definedName>
    <definedName name="Rash_Date">#REF!</definedName>
    <definedName name="s_1" localSheetId="0">#REF!</definedName>
    <definedName name="s_1">#REF!</definedName>
    <definedName name="s_2" localSheetId="0">#REF!</definedName>
    <definedName name="s_2">#REF!</definedName>
    <definedName name="s_3" localSheetId="0">#REF!</definedName>
    <definedName name="s_3">#REF!</definedName>
    <definedName name="s_4" localSheetId="0">#REF!</definedName>
    <definedName name="s_4">#REF!</definedName>
    <definedName name="sfin" localSheetId="0">#REF!</definedName>
    <definedName name="sfin">#REF!</definedName>
    <definedName name="sfin_n" localSheetId="0">#REF!</definedName>
    <definedName name="sfin_n">#REF!</definedName>
    <definedName name="ss" localSheetId="0">#REF!</definedName>
    <definedName name="ss">#REF!</definedName>
    <definedName name="Start1" localSheetId="0">#REF!</definedName>
    <definedName name="Start1">#REF!</definedName>
    <definedName name="Start10" localSheetId="0">#REF!</definedName>
    <definedName name="Start10">#REF!</definedName>
    <definedName name="Start11" localSheetId="0">#REF!</definedName>
    <definedName name="Start11">#REF!</definedName>
    <definedName name="Start12" localSheetId="0">#REF!</definedName>
    <definedName name="Start12">#REF!</definedName>
    <definedName name="Start13" localSheetId="0">#REF!</definedName>
    <definedName name="Start13">#REF!</definedName>
    <definedName name="Start14" localSheetId="0">#REF!</definedName>
    <definedName name="Start14">#REF!</definedName>
    <definedName name="Start15" localSheetId="0">#REF!</definedName>
    <definedName name="Start15">#REF!</definedName>
    <definedName name="Start16" localSheetId="0">#REF!</definedName>
    <definedName name="Start16">#REF!</definedName>
    <definedName name="Start17" localSheetId="0">#REF!</definedName>
    <definedName name="Start17">#REF!</definedName>
    <definedName name="Start18" localSheetId="0">#REF!</definedName>
    <definedName name="Start18">#REF!</definedName>
    <definedName name="Start19" localSheetId="0">#REF!</definedName>
    <definedName name="Start19">#REF!</definedName>
    <definedName name="Start2" localSheetId="0">#REF!</definedName>
    <definedName name="Start2">#REF!</definedName>
    <definedName name="Start20" localSheetId="0">#REF!</definedName>
    <definedName name="Start20">#REF!</definedName>
    <definedName name="Start21" localSheetId="0">#REF!</definedName>
    <definedName name="Start21">#REF!</definedName>
    <definedName name="Start22" localSheetId="0">#REF!</definedName>
    <definedName name="Start22">#REF!</definedName>
    <definedName name="Start23" localSheetId="0">#REF!</definedName>
    <definedName name="Start23">#REF!</definedName>
    <definedName name="Start24" localSheetId="0">#REF!</definedName>
    <definedName name="Start24">#REF!</definedName>
    <definedName name="Start25" localSheetId="0">#REF!</definedName>
    <definedName name="Start25">#REF!</definedName>
    <definedName name="Start26" localSheetId="0">#REF!</definedName>
    <definedName name="Start26">#REF!</definedName>
    <definedName name="Start27" localSheetId="0">#REF!</definedName>
    <definedName name="Start27">#REF!</definedName>
    <definedName name="Start28" localSheetId="0">#REF!</definedName>
    <definedName name="Start28">#REF!</definedName>
    <definedName name="Start29" localSheetId="0">#REF!</definedName>
    <definedName name="Start29">#REF!</definedName>
    <definedName name="Start3" localSheetId="0">#REF!</definedName>
    <definedName name="Start3">#REF!</definedName>
    <definedName name="Start30" localSheetId="0">#REF!</definedName>
    <definedName name="Start30">#REF!</definedName>
    <definedName name="Start31" localSheetId="0">#REF!</definedName>
    <definedName name="Start31">#REF!</definedName>
    <definedName name="Start32" localSheetId="0">#REF!</definedName>
    <definedName name="Start32">#REF!</definedName>
    <definedName name="Start33" localSheetId="0">#REF!</definedName>
    <definedName name="Start33">#REF!</definedName>
    <definedName name="Start34" localSheetId="0">#REF!</definedName>
    <definedName name="Start34">#REF!</definedName>
    <definedName name="Start35" localSheetId="0">#REF!</definedName>
    <definedName name="Start35">#REF!</definedName>
    <definedName name="Start36" localSheetId="0">#REF!</definedName>
    <definedName name="Start36">#REF!</definedName>
    <definedName name="Start37" localSheetId="0">#REF!</definedName>
    <definedName name="Start37">#REF!</definedName>
    <definedName name="Start38" localSheetId="0">#REF!</definedName>
    <definedName name="Start38">#REF!</definedName>
    <definedName name="Start39" localSheetId="0">#REF!</definedName>
    <definedName name="Start39">#REF!</definedName>
    <definedName name="Start4" localSheetId="0">#REF!</definedName>
    <definedName name="Start4">#REF!</definedName>
    <definedName name="Start40" localSheetId="0">#REF!</definedName>
    <definedName name="Start40">#REF!</definedName>
    <definedName name="Start41" localSheetId="0">#REF!</definedName>
    <definedName name="Start41">#REF!</definedName>
    <definedName name="Start42" localSheetId="0">#REF!</definedName>
    <definedName name="Start42">#REF!</definedName>
    <definedName name="Start43" localSheetId="0">#REF!</definedName>
    <definedName name="Start43">#REF!</definedName>
    <definedName name="Start44" localSheetId="0">#REF!</definedName>
    <definedName name="Start44">#REF!</definedName>
    <definedName name="Start45" localSheetId="0">#REF!</definedName>
    <definedName name="Start45">#REF!</definedName>
    <definedName name="Start46" localSheetId="0">#REF!</definedName>
    <definedName name="Start46">#REF!</definedName>
    <definedName name="Start47" localSheetId="0">#REF!</definedName>
    <definedName name="Start47">#REF!</definedName>
    <definedName name="Start48" localSheetId="0">#REF!</definedName>
    <definedName name="Start48">#REF!</definedName>
    <definedName name="Start49" localSheetId="0">#REF!</definedName>
    <definedName name="Start49">#REF!</definedName>
    <definedName name="Start5" localSheetId="0">#REF!</definedName>
    <definedName name="Start5">#REF!</definedName>
    <definedName name="Start50" localSheetId="0">#REF!</definedName>
    <definedName name="Start50">#REF!</definedName>
    <definedName name="Start6" localSheetId="0">#REF!</definedName>
    <definedName name="Start6">#REF!</definedName>
    <definedName name="Start7" localSheetId="0">#REF!</definedName>
    <definedName name="Start7">#REF!</definedName>
    <definedName name="Start8" localSheetId="0">#REF!</definedName>
    <definedName name="Start8">#REF!</definedName>
    <definedName name="Start9" localSheetId="0">#REF!</definedName>
    <definedName name="Start9">#REF!</definedName>
    <definedName name="StartData" localSheetId="0">#REF!</definedName>
    <definedName name="StartData">#REF!</definedName>
    <definedName name="StartPred" localSheetId="0">#REF!</definedName>
    <definedName name="StartPred">#REF!</definedName>
    <definedName name="StartRow" localSheetId="0">#REF!</definedName>
    <definedName name="StartRow">#REF!</definedName>
    <definedName name="Struct_Podraz" localSheetId="0">#REF!</definedName>
    <definedName name="Struct_Podraz">#REF!</definedName>
    <definedName name="tgt" localSheetId="0">#REF!</definedName>
    <definedName name="tgt">#REF!</definedName>
    <definedName name="tgt_n" localSheetId="0">#REF!</definedName>
    <definedName name="tgt_n">#REF!</definedName>
    <definedName name="tgt3_n" localSheetId="0">#REF!</definedName>
    <definedName name="tgt3_n">#REF!</definedName>
    <definedName name="tgt5_n" localSheetId="0">#REF!</definedName>
    <definedName name="tgt5_n">#REF!</definedName>
    <definedName name="Today" localSheetId="0">#REF!</definedName>
    <definedName name="Today">#REF!</definedName>
    <definedName name="Today2" localSheetId="0">#REF!</definedName>
    <definedName name="Today2">#REF!</definedName>
    <definedName name="User_CBP" localSheetId="0">#REF!</definedName>
    <definedName name="User_CBP">#REF!</definedName>
    <definedName name="User_COFK" localSheetId="0">#REF!</definedName>
    <definedName name="User_COFK">#REF!</definedName>
    <definedName name="User_Dol" localSheetId="0">#REF!</definedName>
    <definedName name="User_Dol">#REF!</definedName>
    <definedName name="User_FIO" localSheetId="0">#REF!</definedName>
    <definedName name="User_FIO">#REF!</definedName>
    <definedName name="User_INN" localSheetId="0">#REF!</definedName>
    <definedName name="User_INN">#REF!</definedName>
    <definedName name="User_Name" localSheetId="0">#REF!</definedName>
    <definedName name="User_Name">#REF!</definedName>
    <definedName name="User_Phone" localSheetId="0">#REF!</definedName>
    <definedName name="User_Phone">#REF!</definedName>
    <definedName name="Zam_Boss_FIO" localSheetId="0">#REF!</definedName>
    <definedName name="Zam_Boss_FIO">#REF!</definedName>
    <definedName name="Zam_Buh_FIO" localSheetId="0">#REF!</definedName>
    <definedName name="Zam_Buh_FIO">#REF!</definedName>
    <definedName name="Zam_Chef_FIO" localSheetId="0">#REF!</definedName>
    <definedName name="Zam_Chef_FIO">#REF!</definedName>
    <definedName name="_xlnm.Print_Area" localSheetId="0">'ведомственная 1 чтение'!$A$1:$J$523</definedName>
  </definedNames>
  <calcPr calcId="145621" fullPrecision="0"/>
</workbook>
</file>

<file path=xl/calcChain.xml><?xml version="1.0" encoding="utf-8"?>
<calcChain xmlns="http://schemas.openxmlformats.org/spreadsheetml/2006/main">
  <c r="E450" i="16" l="1"/>
  <c r="E331" i="16" l="1"/>
  <c r="E105" i="16" l="1"/>
  <c r="E104" i="16"/>
  <c r="E23" i="16"/>
  <c r="E21" i="16"/>
  <c r="E17" i="16"/>
  <c r="E364" i="16"/>
  <c r="E360" i="16"/>
  <c r="E359" i="16"/>
  <c r="E350" i="16"/>
  <c r="E341" i="16"/>
  <c r="E324" i="16"/>
  <c r="E326" i="16"/>
  <c r="E335" i="16"/>
  <c r="E313" i="16"/>
  <c r="E304" i="16"/>
  <c r="E300" i="16"/>
  <c r="E294" i="16"/>
  <c r="E284" i="16"/>
  <c r="E282" i="16"/>
  <c r="E421" i="16"/>
  <c r="E419" i="16"/>
  <c r="E417" i="16"/>
  <c r="E409" i="16"/>
  <c r="E397" i="16"/>
  <c r="E389" i="16"/>
  <c r="E383" i="16"/>
  <c r="E381" i="16"/>
  <c r="E376" i="16"/>
  <c r="E508" i="16"/>
  <c r="E506" i="16"/>
  <c r="E515" i="16"/>
  <c r="E470" i="16"/>
  <c r="E468" i="16"/>
  <c r="E434" i="16"/>
  <c r="E269" i="16"/>
  <c r="E267" i="16"/>
  <c r="E256" i="16"/>
  <c r="E242" i="16"/>
  <c r="E240" i="16"/>
  <c r="E234" i="16"/>
  <c r="E227" i="16"/>
  <c r="E225" i="16"/>
  <c r="E220" i="16"/>
  <c r="E217" i="16"/>
  <c r="E212" i="16"/>
  <c r="E209" i="16"/>
  <c r="E205" i="16"/>
  <c r="E203" i="16"/>
  <c r="E103" i="16" l="1"/>
  <c r="G160" i="16"/>
  <c r="G11" i="16" l="1"/>
  <c r="F11" i="16"/>
  <c r="F10" i="16" s="1"/>
  <c r="E11" i="16"/>
  <c r="H13" i="16"/>
  <c r="J13" i="16"/>
  <c r="J107" i="16"/>
  <c r="J106" i="16"/>
  <c r="J19" i="16"/>
  <c r="J18" i="16"/>
  <c r="J478" i="16"/>
  <c r="J476" i="16"/>
  <c r="J457" i="16"/>
  <c r="J456" i="16"/>
  <c r="J445" i="16"/>
  <c r="J441" i="16"/>
  <c r="J362" i="16"/>
  <c r="J361" i="16"/>
  <c r="J348" i="16"/>
  <c r="J347" i="16"/>
  <c r="J322" i="16"/>
  <c r="J320" i="16"/>
  <c r="J318" i="16"/>
  <c r="J316" i="16"/>
  <c r="J311" i="16"/>
  <c r="J309" i="16"/>
  <c r="J306" i="16"/>
  <c r="J302" i="16"/>
  <c r="J286" i="16"/>
  <c r="J408" i="16"/>
  <c r="J395" i="16"/>
  <c r="J387" i="16"/>
  <c r="J380" i="16"/>
  <c r="J374" i="16"/>
  <c r="J373" i="16"/>
  <c r="J371" i="16"/>
  <c r="J522" i="16"/>
  <c r="J504" i="16"/>
  <c r="J502" i="16"/>
  <c r="J500" i="16"/>
  <c r="J492" i="16"/>
  <c r="J488" i="16"/>
  <c r="J485" i="16"/>
  <c r="J483" i="16"/>
  <c r="J464" i="16"/>
  <c r="J453" i="16"/>
  <c r="J452" i="16"/>
  <c r="J451" i="16"/>
  <c r="J427" i="16"/>
  <c r="J353" i="16"/>
  <c r="J275" i="16"/>
  <c r="J265" i="16"/>
  <c r="J258" i="16"/>
  <c r="J251" i="16"/>
  <c r="J249" i="16"/>
  <c r="J247" i="16"/>
  <c r="J245" i="16"/>
  <c r="J232" i="16"/>
  <c r="J215" i="16"/>
  <c r="J207" i="16"/>
  <c r="J195" i="16"/>
  <c r="J190" i="16"/>
  <c r="J181" i="16"/>
  <c r="J174" i="16"/>
  <c r="J166" i="16"/>
  <c r="J161" i="16"/>
  <c r="J159" i="16"/>
  <c r="J153" i="16"/>
  <c r="J149" i="16"/>
  <c r="J130" i="16"/>
  <c r="J120" i="16"/>
  <c r="J99" i="16"/>
  <c r="J97" i="16"/>
  <c r="J95" i="16"/>
  <c r="J94" i="16"/>
  <c r="J91" i="16"/>
  <c r="J88" i="16"/>
  <c r="J85" i="16"/>
  <c r="J76" i="16"/>
  <c r="J72" i="16"/>
  <c r="J67" i="16"/>
  <c r="J65" i="16"/>
  <c r="J30" i="16"/>
  <c r="J47" i="16"/>
  <c r="J46" i="16"/>
  <c r="I107" i="16"/>
  <c r="I106" i="16"/>
  <c r="I19" i="16"/>
  <c r="I18" i="16"/>
  <c r="I478" i="16"/>
  <c r="I476" i="16"/>
  <c r="I457" i="16"/>
  <c r="I456" i="16"/>
  <c r="I445" i="16"/>
  <c r="I441" i="16"/>
  <c r="I362" i="16"/>
  <c r="I361" i="16"/>
  <c r="I348" i="16"/>
  <c r="I347" i="16"/>
  <c r="I311" i="16"/>
  <c r="I309" i="16"/>
  <c r="I306" i="16"/>
  <c r="I302" i="16"/>
  <c r="I286" i="16"/>
  <c r="I408" i="16"/>
  <c r="I395" i="16"/>
  <c r="I387" i="16"/>
  <c r="I380" i="16"/>
  <c r="I374" i="16"/>
  <c r="I373" i="16"/>
  <c r="I371" i="16"/>
  <c r="I522" i="16"/>
  <c r="I504" i="16"/>
  <c r="I502" i="16"/>
  <c r="I500" i="16"/>
  <c r="I492" i="16"/>
  <c r="I485" i="16"/>
  <c r="I483" i="16"/>
  <c r="I464" i="16"/>
  <c r="I453" i="16"/>
  <c r="I452" i="16"/>
  <c r="I451" i="16"/>
  <c r="I427" i="16"/>
  <c r="I353" i="16"/>
  <c r="I275" i="16"/>
  <c r="I265" i="16"/>
  <c r="I258" i="16"/>
  <c r="I234" i="16"/>
  <c r="I232" i="16"/>
  <c r="I215" i="16"/>
  <c r="I207" i="16"/>
  <c r="I190" i="16"/>
  <c r="I181" i="16"/>
  <c r="I174" i="16"/>
  <c r="I166" i="16"/>
  <c r="I161" i="16"/>
  <c r="I159" i="16"/>
  <c r="I153" i="16"/>
  <c r="I149" i="16"/>
  <c r="I120" i="16"/>
  <c r="I99" i="16"/>
  <c r="I97" i="16"/>
  <c r="I95" i="16"/>
  <c r="I94" i="16"/>
  <c r="I91" i="16"/>
  <c r="I88" i="16"/>
  <c r="I85" i="16"/>
  <c r="I76" i="16"/>
  <c r="I72" i="16"/>
  <c r="I67" i="16"/>
  <c r="I65" i="16"/>
  <c r="I61" i="16"/>
  <c r="I30" i="16"/>
  <c r="I12" i="16"/>
  <c r="I49" i="16"/>
  <c r="I47" i="16"/>
  <c r="I46" i="16"/>
  <c r="H107" i="16"/>
  <c r="H106" i="16"/>
  <c r="H19" i="16"/>
  <c r="H18" i="16"/>
  <c r="H478" i="16"/>
  <c r="H476" i="16"/>
  <c r="H457" i="16"/>
  <c r="H456" i="16"/>
  <c r="H445" i="16"/>
  <c r="H441" i="16"/>
  <c r="H363" i="16"/>
  <c r="H362" i="16"/>
  <c r="H361" i="16"/>
  <c r="H348" i="16"/>
  <c r="H347" i="16"/>
  <c r="H322" i="16"/>
  <c r="H320" i="16"/>
  <c r="H318" i="16"/>
  <c r="H316" i="16"/>
  <c r="H311" i="16"/>
  <c r="H309" i="16"/>
  <c r="H306" i="16"/>
  <c r="H302" i="16"/>
  <c r="H289" i="16"/>
  <c r="H286" i="16"/>
  <c r="H412" i="16"/>
  <c r="H410" i="16"/>
  <c r="H408" i="16"/>
  <c r="H395" i="16"/>
  <c r="H393" i="16"/>
  <c r="H391" i="16"/>
  <c r="H387" i="16"/>
  <c r="H380" i="16"/>
  <c r="H374" i="16"/>
  <c r="H373" i="16"/>
  <c r="H371" i="16"/>
  <c r="H522" i="16"/>
  <c r="H504" i="16"/>
  <c r="H502" i="16"/>
  <c r="H500" i="16"/>
  <c r="H492" i="16"/>
  <c r="H488" i="16"/>
  <c r="H485" i="16"/>
  <c r="H483" i="16"/>
  <c r="H464" i="16"/>
  <c r="H453" i="16"/>
  <c r="H452" i="16"/>
  <c r="H451" i="16"/>
  <c r="H427" i="16"/>
  <c r="H353" i="16"/>
  <c r="H275" i="16"/>
  <c r="H265" i="16"/>
  <c r="H258" i="16"/>
  <c r="H251" i="16"/>
  <c r="H249" i="16"/>
  <c r="H247" i="16"/>
  <c r="H245" i="16"/>
  <c r="H232" i="16"/>
  <c r="H215" i="16"/>
  <c r="H207" i="16"/>
  <c r="H197" i="16"/>
  <c r="H195" i="16"/>
  <c r="H190" i="16"/>
  <c r="H181" i="16"/>
  <c r="H174" i="16"/>
  <c r="H166" i="16"/>
  <c r="H161" i="16"/>
  <c r="H159" i="16"/>
  <c r="H153" i="16"/>
  <c r="H149" i="16"/>
  <c r="H130" i="16"/>
  <c r="H120" i="16"/>
  <c r="H99" i="16"/>
  <c r="H97" i="16"/>
  <c r="H95" i="16"/>
  <c r="H94" i="16"/>
  <c r="H91" i="16"/>
  <c r="H88" i="16"/>
  <c r="H85" i="16"/>
  <c r="H76" i="16"/>
  <c r="H72" i="16"/>
  <c r="H67" i="16"/>
  <c r="H65" i="16"/>
  <c r="H30" i="16"/>
  <c r="H47" i="16"/>
  <c r="H46" i="16"/>
  <c r="F45" i="16"/>
  <c r="F44" i="16" s="1"/>
  <c r="G45" i="16"/>
  <c r="F49" i="16"/>
  <c r="H49" i="16" s="1"/>
  <c r="G48" i="16"/>
  <c r="F28" i="16"/>
  <c r="H29" i="16"/>
  <c r="H31" i="16"/>
  <c r="H33" i="16"/>
  <c r="F40" i="16"/>
  <c r="F39" i="16" s="1"/>
  <c r="G40" i="16"/>
  <c r="F61" i="16"/>
  <c r="H61" i="16" s="1"/>
  <c r="F64" i="16"/>
  <c r="G64" i="16"/>
  <c r="F66" i="16"/>
  <c r="G66" i="16"/>
  <c r="F70" i="16"/>
  <c r="G70" i="16"/>
  <c r="F71" i="16"/>
  <c r="G71" i="16"/>
  <c r="F74" i="16"/>
  <c r="F73" i="16" s="1"/>
  <c r="G74" i="16"/>
  <c r="G73" i="16" s="1"/>
  <c r="F75" i="16"/>
  <c r="G75" i="16"/>
  <c r="F81" i="16"/>
  <c r="F80" i="16" s="1"/>
  <c r="F83" i="16"/>
  <c r="F86" i="16"/>
  <c r="I86" i="16"/>
  <c r="F89" i="16"/>
  <c r="F87" i="16" s="1"/>
  <c r="F92" i="16"/>
  <c r="F90" i="16" s="1"/>
  <c r="F93" i="16"/>
  <c r="G93" i="16"/>
  <c r="F96" i="16"/>
  <c r="G96" i="16"/>
  <c r="F98" i="16"/>
  <c r="F102" i="16"/>
  <c r="F101" i="16" s="1"/>
  <c r="F114" i="16"/>
  <c r="F113" i="16" s="1"/>
  <c r="F112" i="16" s="1"/>
  <c r="F119" i="16"/>
  <c r="G119" i="16"/>
  <c r="F123" i="16"/>
  <c r="F129" i="16"/>
  <c r="G129" i="16"/>
  <c r="F135" i="16"/>
  <c r="F140" i="16"/>
  <c r="F139" i="16" s="1"/>
  <c r="G140" i="16"/>
  <c r="F146" i="16"/>
  <c r="H146" i="16" s="1"/>
  <c r="F147" i="16"/>
  <c r="G147" i="16"/>
  <c r="F148" i="16"/>
  <c r="G148" i="16"/>
  <c r="F151" i="16"/>
  <c r="F152" i="16"/>
  <c r="G152" i="16"/>
  <c r="F158" i="16"/>
  <c r="G158" i="16"/>
  <c r="F160" i="16"/>
  <c r="H160" i="16" s="1"/>
  <c r="F164" i="16"/>
  <c r="F165" i="16"/>
  <c r="G165" i="16"/>
  <c r="F168" i="16"/>
  <c r="F167" i="16" s="1"/>
  <c r="G168" i="16"/>
  <c r="F173" i="16"/>
  <c r="F172" i="16" s="1"/>
  <c r="F171" i="16" s="1"/>
  <c r="G173" i="16"/>
  <c r="F180" i="16"/>
  <c r="G180" i="16"/>
  <c r="F183" i="16"/>
  <c r="F184" i="16"/>
  <c r="H184" i="16" s="1"/>
  <c r="F186" i="16"/>
  <c r="F185" i="16" s="1"/>
  <c r="F189" i="16"/>
  <c r="F188" i="16" s="1"/>
  <c r="G189" i="16"/>
  <c r="F194" i="16"/>
  <c r="G194" i="16"/>
  <c r="F196" i="16"/>
  <c r="F203" i="16"/>
  <c r="F202" i="16" s="1"/>
  <c r="G203" i="16"/>
  <c r="F205" i="16"/>
  <c r="G205" i="16"/>
  <c r="F206" i="16"/>
  <c r="G206" i="16"/>
  <c r="F209" i="16"/>
  <c r="F212" i="16"/>
  <c r="F211" i="16" s="1"/>
  <c r="F214" i="16"/>
  <c r="G214" i="16"/>
  <c r="F217" i="16"/>
  <c r="F216" i="16" s="1"/>
  <c r="G217" i="16"/>
  <c r="G219" i="16"/>
  <c r="F220" i="16"/>
  <c r="F219" i="16" s="1"/>
  <c r="F224" i="16"/>
  <c r="H225" i="16"/>
  <c r="F227" i="16"/>
  <c r="F231" i="16"/>
  <c r="G231" i="16"/>
  <c r="F234" i="16"/>
  <c r="F240" i="16"/>
  <c r="F242" i="16"/>
  <c r="H242" i="16" s="1"/>
  <c r="F244" i="16"/>
  <c r="G244" i="16"/>
  <c r="F246" i="16"/>
  <c r="G246" i="16"/>
  <c r="F248" i="16"/>
  <c r="G248" i="16"/>
  <c r="F250" i="16"/>
  <c r="G250" i="16"/>
  <c r="F256" i="16"/>
  <c r="G256" i="16"/>
  <c r="F257" i="16"/>
  <c r="G257" i="16"/>
  <c r="F262" i="16"/>
  <c r="F264" i="16"/>
  <c r="G264" i="16"/>
  <c r="F267" i="16"/>
  <c r="F266" i="16" s="1"/>
  <c r="F274" i="16"/>
  <c r="G274" i="16"/>
  <c r="F352" i="16"/>
  <c r="G352" i="16"/>
  <c r="F426" i="16"/>
  <c r="G426" i="16"/>
  <c r="F434" i="16"/>
  <c r="H434" i="16" s="1"/>
  <c r="F450" i="16"/>
  <c r="G450" i="16"/>
  <c r="F462" i="16"/>
  <c r="F461" i="16" s="1"/>
  <c r="G462" i="16"/>
  <c r="F463" i="16"/>
  <c r="G463" i="16"/>
  <c r="F468" i="16"/>
  <c r="G468" i="16"/>
  <c r="G469" i="16"/>
  <c r="F470" i="16"/>
  <c r="F469" i="16" s="1"/>
  <c r="F482" i="16"/>
  <c r="G482" i="16"/>
  <c r="F484" i="16"/>
  <c r="G484" i="16"/>
  <c r="F487" i="16"/>
  <c r="F486" i="16" s="1"/>
  <c r="G487" i="16"/>
  <c r="G486" i="16" s="1"/>
  <c r="G491" i="16"/>
  <c r="F493" i="16"/>
  <c r="F491" i="16" s="1"/>
  <c r="F490" i="16" s="1"/>
  <c r="F499" i="16"/>
  <c r="G499" i="16"/>
  <c r="F501" i="16"/>
  <c r="G501" i="16"/>
  <c r="F503" i="16"/>
  <c r="G503" i="16"/>
  <c r="F506" i="16"/>
  <c r="F505" i="16" s="1"/>
  <c r="G506" i="16"/>
  <c r="F508" i="16"/>
  <c r="G508" i="16"/>
  <c r="G507" i="16" s="1"/>
  <c r="F513" i="16"/>
  <c r="F521" i="16"/>
  <c r="F520" i="16" s="1"/>
  <c r="G521" i="16"/>
  <c r="F372" i="16"/>
  <c r="H372" i="16" s="1"/>
  <c r="F376" i="16"/>
  <c r="F375" i="16" s="1"/>
  <c r="F382" i="16"/>
  <c r="F386" i="16"/>
  <c r="G386" i="16"/>
  <c r="F389" i="16"/>
  <c r="G389" i="16"/>
  <c r="F390" i="16"/>
  <c r="G390" i="16"/>
  <c r="F392" i="16"/>
  <c r="G392" i="16"/>
  <c r="F394" i="16"/>
  <c r="G394" i="16"/>
  <c r="F397" i="16"/>
  <c r="G397" i="16"/>
  <c r="F400" i="16"/>
  <c r="G401" i="16"/>
  <c r="F402" i="16"/>
  <c r="F409" i="16"/>
  <c r="F411" i="16"/>
  <c r="G411" i="16"/>
  <c r="F417" i="16"/>
  <c r="G417" i="16"/>
  <c r="G416" i="16" s="1"/>
  <c r="F419" i="16"/>
  <c r="F418" i="16" s="1"/>
  <c r="G419" i="16"/>
  <c r="F421" i="16"/>
  <c r="G421" i="16"/>
  <c r="G420" i="16" s="1"/>
  <c r="F282" i="16"/>
  <c r="G281" i="16"/>
  <c r="F284" i="16"/>
  <c r="F285" i="16"/>
  <c r="G285" i="16"/>
  <c r="F288" i="16"/>
  <c r="G288" i="16"/>
  <c r="F292" i="16"/>
  <c r="G292" i="16"/>
  <c r="F294" i="16"/>
  <c r="G294" i="16"/>
  <c r="F300" i="16"/>
  <c r="F301" i="16"/>
  <c r="G301" i="16"/>
  <c r="G303" i="16"/>
  <c r="F304" i="16"/>
  <c r="F305" i="16"/>
  <c r="G305" i="16"/>
  <c r="F308" i="16"/>
  <c r="G308" i="16"/>
  <c r="F310" i="16"/>
  <c r="G310" i="16"/>
  <c r="G312" i="16"/>
  <c r="F313" i="16"/>
  <c r="F315" i="16"/>
  <c r="G315" i="16"/>
  <c r="F317" i="16"/>
  <c r="G317" i="16"/>
  <c r="F319" i="16"/>
  <c r="G319" i="16"/>
  <c r="F321" i="16"/>
  <c r="G321" i="16"/>
  <c r="F324" i="16"/>
  <c r="F323" i="16" s="1"/>
  <c r="G324" i="16"/>
  <c r="F326" i="16"/>
  <c r="G326" i="16"/>
  <c r="F329" i="16"/>
  <c r="F328" i="16" s="1"/>
  <c r="G329" i="16"/>
  <c r="G328" i="16" s="1"/>
  <c r="F331" i="16"/>
  <c r="G331" i="16"/>
  <c r="G330" i="16" s="1"/>
  <c r="F335" i="16"/>
  <c r="F334" i="16" s="1"/>
  <c r="F341" i="16"/>
  <c r="F346" i="16"/>
  <c r="G346" i="16"/>
  <c r="F350" i="16"/>
  <c r="H350" i="16" s="1"/>
  <c r="F359" i="16"/>
  <c r="F360" i="16"/>
  <c r="F364" i="16"/>
  <c r="F440" i="16"/>
  <c r="G440" i="16"/>
  <c r="G439" i="16" s="1"/>
  <c r="F444" i="16"/>
  <c r="G444" i="16"/>
  <c r="F455" i="16"/>
  <c r="G455" i="16"/>
  <c r="G454" i="16" s="1"/>
  <c r="F475" i="16"/>
  <c r="G475" i="16"/>
  <c r="F477" i="16"/>
  <c r="G477" i="16"/>
  <c r="G16" i="16"/>
  <c r="F17" i="16"/>
  <c r="F21" i="16"/>
  <c r="F20" i="16" s="1"/>
  <c r="G20" i="16"/>
  <c r="F23" i="16"/>
  <c r="F104" i="16"/>
  <c r="H104" i="16" s="1"/>
  <c r="F105" i="16"/>
  <c r="F481" i="16" l="1"/>
  <c r="F358" i="16"/>
  <c r="F356" i="16" s="1"/>
  <c r="H96" i="16"/>
  <c r="F63" i="16"/>
  <c r="F62" i="16" s="1"/>
  <c r="H392" i="16"/>
  <c r="F187" i="16"/>
  <c r="H292" i="16"/>
  <c r="H248" i="16"/>
  <c r="H294" i="16"/>
  <c r="F291" i="16"/>
  <c r="H411" i="16"/>
  <c r="H394" i="16"/>
  <c r="H390" i="16"/>
  <c r="H386" i="16"/>
  <c r="F370" i="16"/>
  <c r="F368" i="16" s="1"/>
  <c r="F433" i="16"/>
  <c r="F432" i="16" s="1"/>
  <c r="F431" i="16" s="1"/>
  <c r="F60" i="16"/>
  <c r="F59" i="16" s="1"/>
  <c r="H92" i="16"/>
  <c r="H331" i="16"/>
  <c r="H315" i="16"/>
  <c r="F293" i="16"/>
  <c r="H521" i="16"/>
  <c r="H487" i="16"/>
  <c r="F241" i="16"/>
  <c r="H165" i="16"/>
  <c r="H74" i="16"/>
  <c r="H168" i="16"/>
  <c r="H206" i="16"/>
  <c r="H194" i="16"/>
  <c r="H180" i="16"/>
  <c r="H152" i="16"/>
  <c r="H129" i="16"/>
  <c r="H71" i="16"/>
  <c r="H321" i="16"/>
  <c r="H317" i="16"/>
  <c r="H301" i="16"/>
  <c r="H285" i="16"/>
  <c r="H501" i="16"/>
  <c r="H486" i="16"/>
  <c r="H482" i="16"/>
  <c r="H469" i="16"/>
  <c r="H257" i="16"/>
  <c r="H250" i="16"/>
  <c r="H246" i="16"/>
  <c r="H148" i="16"/>
  <c r="G128" i="16"/>
  <c r="H119" i="16"/>
  <c r="H93" i="16"/>
  <c r="H75" i="16"/>
  <c r="H64" i="16"/>
  <c r="J20" i="16"/>
  <c r="F16" i="16"/>
  <c r="H17" i="16"/>
  <c r="F340" i="16"/>
  <c r="H341" i="16"/>
  <c r="F281" i="16"/>
  <c r="J281" i="16" s="1"/>
  <c r="H282" i="16"/>
  <c r="F507" i="16"/>
  <c r="H507" i="16" s="1"/>
  <c r="H508" i="16"/>
  <c r="F213" i="16"/>
  <c r="H214" i="16"/>
  <c r="H20" i="16"/>
  <c r="H475" i="16"/>
  <c r="G443" i="16"/>
  <c r="J444" i="16"/>
  <c r="J335" i="16"/>
  <c r="I335" i="16"/>
  <c r="J319" i="16"/>
  <c r="G287" i="16"/>
  <c r="J105" i="16"/>
  <c r="I105" i="16"/>
  <c r="J23" i="16"/>
  <c r="I23" i="16"/>
  <c r="G22" i="16"/>
  <c r="G15" i="16" s="1"/>
  <c r="J477" i="16"/>
  <c r="J455" i="16"/>
  <c r="H444" i="16"/>
  <c r="F443" i="16"/>
  <c r="J364" i="16"/>
  <c r="I364" i="16"/>
  <c r="G358" i="16"/>
  <c r="J359" i="16"/>
  <c r="I359" i="16"/>
  <c r="F333" i="16"/>
  <c r="G325" i="16"/>
  <c r="I326" i="16"/>
  <c r="H319" i="16"/>
  <c r="J310" i="16"/>
  <c r="J305" i="16"/>
  <c r="H300" i="16"/>
  <c r="F299" i="16"/>
  <c r="G407" i="16"/>
  <c r="G405" i="16" s="1"/>
  <c r="J409" i="16"/>
  <c r="I409" i="16"/>
  <c r="F396" i="16"/>
  <c r="H397" i="16"/>
  <c r="F388" i="16"/>
  <c r="H389" i="16"/>
  <c r="H352" i="16"/>
  <c r="F351" i="16"/>
  <c r="J264" i="16"/>
  <c r="F255" i="16"/>
  <c r="H256" i="16"/>
  <c r="F243" i="16"/>
  <c r="F210" i="16"/>
  <c r="F163" i="16"/>
  <c r="H164" i="16"/>
  <c r="F157" i="16"/>
  <c r="H158" i="16"/>
  <c r="H151" i="16"/>
  <c r="F150" i="16"/>
  <c r="H140" i="16"/>
  <c r="G80" i="16"/>
  <c r="H80" i="16" s="1"/>
  <c r="J81" i="16"/>
  <c r="I81" i="16"/>
  <c r="H81" i="16"/>
  <c r="H100" i="16"/>
  <c r="H244" i="16"/>
  <c r="F103" i="16"/>
  <c r="H105" i="16"/>
  <c r="F22" i="16"/>
  <c r="H23" i="16"/>
  <c r="J440" i="16"/>
  <c r="H364" i="16"/>
  <c r="H359" i="16"/>
  <c r="F349" i="16"/>
  <c r="J341" i="16"/>
  <c r="I341" i="16"/>
  <c r="G340" i="16"/>
  <c r="G334" i="16"/>
  <c r="H334" i="16" s="1"/>
  <c r="H326" i="16"/>
  <c r="F325" i="16"/>
  <c r="F416" i="16"/>
  <c r="H416" i="16" s="1"/>
  <c r="H417" i="16"/>
  <c r="J503" i="16"/>
  <c r="J499" i="16"/>
  <c r="G490" i="16"/>
  <c r="J491" i="16"/>
  <c r="G481" i="16"/>
  <c r="J484" i="16"/>
  <c r="F480" i="16"/>
  <c r="G467" i="16"/>
  <c r="J468" i="16"/>
  <c r="I468" i="16"/>
  <c r="G461" i="16"/>
  <c r="H461" i="16" s="1"/>
  <c r="J462" i="16"/>
  <c r="I462" i="16"/>
  <c r="G425" i="16"/>
  <c r="J426" i="16"/>
  <c r="J267" i="16"/>
  <c r="I267" i="16"/>
  <c r="G266" i="16"/>
  <c r="G208" i="16"/>
  <c r="J209" i="16"/>
  <c r="I209" i="16"/>
  <c r="G204" i="16"/>
  <c r="I205" i="16"/>
  <c r="G121" i="16"/>
  <c r="J122" i="16"/>
  <c r="I122" i="16"/>
  <c r="G113" i="16"/>
  <c r="J114" i="16"/>
  <c r="H114" i="16"/>
  <c r="I114" i="16"/>
  <c r="J93" i="16"/>
  <c r="H86" i="16"/>
  <c r="F84" i="16"/>
  <c r="F38" i="16"/>
  <c r="H383" i="16"/>
  <c r="J21" i="16"/>
  <c r="I21" i="16"/>
  <c r="G474" i="16"/>
  <c r="J475" i="16"/>
  <c r="F439" i="16"/>
  <c r="J439" i="16" s="1"/>
  <c r="H440" i="16"/>
  <c r="J360" i="16"/>
  <c r="I360" i="16"/>
  <c r="J346" i="16"/>
  <c r="G323" i="16"/>
  <c r="H323" i="16" s="1"/>
  <c r="I324" i="16"/>
  <c r="F519" i="16"/>
  <c r="H274" i="16"/>
  <c r="F273" i="16"/>
  <c r="G226" i="16"/>
  <c r="J227" i="16"/>
  <c r="I227" i="16"/>
  <c r="J217" i="16"/>
  <c r="I217" i="16"/>
  <c r="G438" i="16"/>
  <c r="G437" i="16"/>
  <c r="H324" i="16"/>
  <c r="G375" i="16"/>
  <c r="H375" i="16" s="1"/>
  <c r="J376" i="16"/>
  <c r="I376" i="16"/>
  <c r="G369" i="16"/>
  <c r="H234" i="16"/>
  <c r="F233" i="16"/>
  <c r="H217" i="16"/>
  <c r="J147" i="16"/>
  <c r="I147" i="16"/>
  <c r="G139" i="16"/>
  <c r="H139" i="16" s="1"/>
  <c r="I140" i="16"/>
  <c r="H135" i="16"/>
  <c r="F134" i="16"/>
  <c r="J102" i="16"/>
  <c r="I102" i="16"/>
  <c r="H102" i="16"/>
  <c r="G101" i="16"/>
  <c r="H101" i="16" s="1"/>
  <c r="G63" i="16"/>
  <c r="J66" i="16"/>
  <c r="H66" i="16"/>
  <c r="F32" i="16"/>
  <c r="F27" i="16" s="1"/>
  <c r="H34" i="16"/>
  <c r="H376" i="16"/>
  <c r="H335" i="16"/>
  <c r="H21" i="16"/>
  <c r="G103" i="16"/>
  <c r="J104" i="16"/>
  <c r="I104" i="16"/>
  <c r="J17" i="16"/>
  <c r="I17" i="16"/>
  <c r="F474" i="16"/>
  <c r="H477" i="16"/>
  <c r="F454" i="16"/>
  <c r="J454" i="16" s="1"/>
  <c r="H455" i="16"/>
  <c r="H360" i="16"/>
  <c r="G349" i="16"/>
  <c r="G345" i="16" s="1"/>
  <c r="J350" i="16"/>
  <c r="I350" i="16"/>
  <c r="H346" i="16"/>
  <c r="G327" i="16"/>
  <c r="I331" i="16"/>
  <c r="H328" i="16"/>
  <c r="J321" i="16"/>
  <c r="J317" i="16"/>
  <c r="J313" i="16"/>
  <c r="I313" i="16"/>
  <c r="H310" i="16"/>
  <c r="H305" i="16"/>
  <c r="J301" i="16"/>
  <c r="G291" i="16"/>
  <c r="F287" i="16"/>
  <c r="H288" i="16"/>
  <c r="G283" i="16"/>
  <c r="G280" i="16" s="1"/>
  <c r="J284" i="16"/>
  <c r="I284" i="16"/>
  <c r="G418" i="16"/>
  <c r="G415" i="16" s="1"/>
  <c r="J419" i="16"/>
  <c r="I419" i="16"/>
  <c r="F407" i="16"/>
  <c r="H409" i="16"/>
  <c r="G399" i="16"/>
  <c r="J400" i="16"/>
  <c r="J394" i="16"/>
  <c r="J386" i="16"/>
  <c r="G513" i="16"/>
  <c r="J515" i="16"/>
  <c r="I515" i="16"/>
  <c r="H503" i="16"/>
  <c r="H499" i="16"/>
  <c r="J487" i="16"/>
  <c r="H484" i="16"/>
  <c r="J470" i="16"/>
  <c r="I470" i="16"/>
  <c r="F467" i="16"/>
  <c r="F466" i="16" s="1"/>
  <c r="H468" i="16"/>
  <c r="F460" i="16"/>
  <c r="G433" i="16"/>
  <c r="G432" i="16" s="1"/>
  <c r="G431" i="16" s="1"/>
  <c r="J434" i="16"/>
  <c r="I434" i="16"/>
  <c r="F425" i="16"/>
  <c r="H426" i="16"/>
  <c r="H267" i="16"/>
  <c r="H264" i="16"/>
  <c r="J257" i="16"/>
  <c r="J250" i="16"/>
  <c r="J246" i="16"/>
  <c r="G239" i="16"/>
  <c r="J240" i="16"/>
  <c r="I240" i="16"/>
  <c r="F226" i="16"/>
  <c r="H227" i="16"/>
  <c r="J220" i="16"/>
  <c r="I220" i="16"/>
  <c r="G211" i="16"/>
  <c r="J212" i="16"/>
  <c r="I212" i="16"/>
  <c r="F208" i="16"/>
  <c r="H209" i="16"/>
  <c r="F204" i="16"/>
  <c r="H205" i="16"/>
  <c r="G196" i="16"/>
  <c r="J197" i="16"/>
  <c r="I197" i="16"/>
  <c r="G188" i="16"/>
  <c r="J189" i="16"/>
  <c r="G185" i="16"/>
  <c r="J186" i="16"/>
  <c r="I186" i="16"/>
  <c r="G182" i="16"/>
  <c r="J183" i="16"/>
  <c r="I183" i="16"/>
  <c r="G172" i="16"/>
  <c r="H172" i="16" s="1"/>
  <c r="J173" i="16"/>
  <c r="J165" i="16"/>
  <c r="J160" i="16"/>
  <c r="J152" i="16"/>
  <c r="F145" i="16"/>
  <c r="H147" i="16"/>
  <c r="F128" i="16"/>
  <c r="H122" i="16"/>
  <c r="F111" i="16"/>
  <c r="F109" i="16" s="1"/>
  <c r="G87" i="16"/>
  <c r="H87" i="16" s="1"/>
  <c r="J89" i="16"/>
  <c r="I89" i="16"/>
  <c r="J74" i="16"/>
  <c r="J70" i="16"/>
  <c r="J33" i="16"/>
  <c r="J29" i="16"/>
  <c r="I29" i="16"/>
  <c r="F48" i="16"/>
  <c r="H48" i="16" s="1"/>
  <c r="J49" i="16"/>
  <c r="H89" i="16"/>
  <c r="H189" i="16"/>
  <c r="H212" i="16"/>
  <c r="H493" i="16"/>
  <c r="F312" i="16"/>
  <c r="J312" i="16" s="1"/>
  <c r="H313" i="16"/>
  <c r="G307" i="16"/>
  <c r="J308" i="16"/>
  <c r="J304" i="16"/>
  <c r="I304" i="16"/>
  <c r="G293" i="16"/>
  <c r="H293" i="16" s="1"/>
  <c r="I294" i="16"/>
  <c r="F283" i="16"/>
  <c r="H284" i="16"/>
  <c r="J421" i="16"/>
  <c r="I421" i="16"/>
  <c r="J402" i="16"/>
  <c r="F399" i="16"/>
  <c r="H400" i="16"/>
  <c r="G379" i="16"/>
  <c r="J381" i="16"/>
  <c r="I381" i="16"/>
  <c r="G370" i="16"/>
  <c r="J372" i="16"/>
  <c r="I372" i="16"/>
  <c r="G520" i="16"/>
  <c r="J521" i="16"/>
  <c r="G505" i="16"/>
  <c r="G498" i="16" s="1"/>
  <c r="I506" i="16"/>
  <c r="J501" i="16"/>
  <c r="J493" i="16"/>
  <c r="I493" i="16"/>
  <c r="J482" i="16"/>
  <c r="J463" i="16"/>
  <c r="G449" i="16"/>
  <c r="G448" i="16" s="1"/>
  <c r="J450" i="16"/>
  <c r="G268" i="16"/>
  <c r="J269" i="16"/>
  <c r="I269" i="16"/>
  <c r="G262" i="16"/>
  <c r="J263" i="16"/>
  <c r="G241" i="16"/>
  <c r="J242" i="16"/>
  <c r="I242" i="16"/>
  <c r="F239" i="16"/>
  <c r="H240" i="16"/>
  <c r="J231" i="16"/>
  <c r="G224" i="16"/>
  <c r="H224" i="16" s="1"/>
  <c r="J225" i="16"/>
  <c r="F218" i="16"/>
  <c r="H219" i="16"/>
  <c r="J206" i="16"/>
  <c r="G202" i="16"/>
  <c r="H202" i="16" s="1"/>
  <c r="F193" i="16"/>
  <c r="H185" i="16"/>
  <c r="F182" i="16"/>
  <c r="H183" i="16"/>
  <c r="F170" i="16"/>
  <c r="J148" i="16"/>
  <c r="G145" i="16"/>
  <c r="J146" i="16"/>
  <c r="F138" i="16"/>
  <c r="J129" i="16"/>
  <c r="J123" i="16"/>
  <c r="J119" i="16"/>
  <c r="J96" i="16"/>
  <c r="G90" i="16"/>
  <c r="H90" i="16" s="1"/>
  <c r="J92" i="16"/>
  <c r="I92" i="16"/>
  <c r="G82" i="16"/>
  <c r="J83" i="16"/>
  <c r="I83" i="16"/>
  <c r="F69" i="16"/>
  <c r="J64" i="16"/>
  <c r="J55" i="16"/>
  <c r="I55" i="16"/>
  <c r="G54" i="16"/>
  <c r="G39" i="16"/>
  <c r="H39" i="16" s="1"/>
  <c r="J40" i="16"/>
  <c r="I40" i="16"/>
  <c r="H12" i="16"/>
  <c r="H40" i="16"/>
  <c r="H220" i="16"/>
  <c r="H462" i="16"/>
  <c r="H470" i="16"/>
  <c r="H506" i="16"/>
  <c r="H515" i="16"/>
  <c r="H419" i="16"/>
  <c r="J315" i="16"/>
  <c r="H308" i="16"/>
  <c r="F303" i="16"/>
  <c r="H303" i="16" s="1"/>
  <c r="H304" i="16"/>
  <c r="G299" i="16"/>
  <c r="J300" i="16"/>
  <c r="I300" i="16"/>
  <c r="J285" i="16"/>
  <c r="J282" i="16"/>
  <c r="I282" i="16"/>
  <c r="F420" i="16"/>
  <c r="H420" i="16" s="1"/>
  <c r="H421" i="16"/>
  <c r="J417" i="16"/>
  <c r="I417" i="16"/>
  <c r="F401" i="16"/>
  <c r="H401" i="16" s="1"/>
  <c r="H402" i="16"/>
  <c r="G396" i="16"/>
  <c r="J397" i="16"/>
  <c r="I397" i="16"/>
  <c r="G388" i="16"/>
  <c r="J389" i="16"/>
  <c r="I389" i="16"/>
  <c r="G382" i="16"/>
  <c r="H382" i="16" s="1"/>
  <c r="J383" i="16"/>
  <c r="I383" i="16"/>
  <c r="F379" i="16"/>
  <c r="H381" i="16"/>
  <c r="I508" i="16"/>
  <c r="F489" i="16"/>
  <c r="J486" i="16"/>
  <c r="J469" i="16"/>
  <c r="H463" i="16"/>
  <c r="F449" i="16"/>
  <c r="H450" i="16"/>
  <c r="G351" i="16"/>
  <c r="J352" i="16"/>
  <c r="G273" i="16"/>
  <c r="J274" i="16"/>
  <c r="F268" i="16"/>
  <c r="H269" i="16"/>
  <c r="H263" i="16"/>
  <c r="G255" i="16"/>
  <c r="J256" i="16"/>
  <c r="I256" i="16"/>
  <c r="J248" i="16"/>
  <c r="G243" i="16"/>
  <c r="J244" i="16"/>
  <c r="G233" i="16"/>
  <c r="G230" i="16" s="1"/>
  <c r="J234" i="16"/>
  <c r="H231" i="16"/>
  <c r="G218" i="16"/>
  <c r="J219" i="16"/>
  <c r="G213" i="16"/>
  <c r="J214" i="16"/>
  <c r="H203" i="16"/>
  <c r="J194" i="16"/>
  <c r="J184" i="16"/>
  <c r="I184" i="16"/>
  <c r="J180" i="16"/>
  <c r="G167" i="16"/>
  <c r="H167" i="16" s="1"/>
  <c r="I168" i="16"/>
  <c r="G163" i="16"/>
  <c r="J164" i="16"/>
  <c r="I164" i="16"/>
  <c r="G157" i="16"/>
  <c r="J158" i="16"/>
  <c r="G150" i="16"/>
  <c r="J151" i="16"/>
  <c r="I151" i="16"/>
  <c r="G134" i="16"/>
  <c r="J135" i="16"/>
  <c r="I135" i="16"/>
  <c r="F121" i="16"/>
  <c r="F118" i="16" s="1"/>
  <c r="H123" i="16"/>
  <c r="G98" i="16"/>
  <c r="J100" i="16"/>
  <c r="I100" i="16"/>
  <c r="G84" i="16"/>
  <c r="J86" i="16"/>
  <c r="F82" i="16"/>
  <c r="H83" i="16"/>
  <c r="J75" i="16"/>
  <c r="J71" i="16"/>
  <c r="G69" i="16"/>
  <c r="F58" i="16"/>
  <c r="F54" i="16"/>
  <c r="H55" i="16"/>
  <c r="J34" i="16"/>
  <c r="J31" i="16"/>
  <c r="I31" i="16"/>
  <c r="G28" i="16"/>
  <c r="H28" i="16" s="1"/>
  <c r="F9" i="16"/>
  <c r="H70" i="16"/>
  <c r="H173" i="16"/>
  <c r="H186" i="16"/>
  <c r="H491" i="16"/>
  <c r="H329" i="16"/>
  <c r="I203" i="16"/>
  <c r="G60" i="16"/>
  <c r="H60" i="16" s="1"/>
  <c r="J61" i="16"/>
  <c r="G32" i="16"/>
  <c r="H11" i="16"/>
  <c r="J12" i="16"/>
  <c r="J45" i="16"/>
  <c r="G44" i="16"/>
  <c r="H45" i="16"/>
  <c r="F327" i="16"/>
  <c r="G356" i="16"/>
  <c r="G514" i="16"/>
  <c r="F330" i="16"/>
  <c r="H330" i="16" s="1"/>
  <c r="F369" i="16"/>
  <c r="F514" i="16"/>
  <c r="F357" i="16"/>
  <c r="G187" i="16"/>
  <c r="H187" i="16" s="1"/>
  <c r="H358" i="16" l="1"/>
  <c r="F448" i="16"/>
  <c r="G406" i="16"/>
  <c r="G344" i="16"/>
  <c r="G342" i="16" s="1"/>
  <c r="G314" i="16"/>
  <c r="H370" i="16"/>
  <c r="F290" i="16"/>
  <c r="G238" i="16"/>
  <c r="G237" i="16" s="1"/>
  <c r="H327" i="16"/>
  <c r="H287" i="16"/>
  <c r="H16" i="16"/>
  <c r="F15" i="16"/>
  <c r="F354" i="16"/>
  <c r="F355" i="16"/>
  <c r="F498" i="16"/>
  <c r="F497" i="16" s="1"/>
  <c r="F438" i="16"/>
  <c r="H438" i="16" s="1"/>
  <c r="H268" i="16"/>
  <c r="J16" i="16"/>
  <c r="G79" i="16"/>
  <c r="F57" i="16"/>
  <c r="H433" i="16"/>
  <c r="F79" i="16"/>
  <c r="F78" i="16" s="1"/>
  <c r="H63" i="16"/>
  <c r="G368" i="16"/>
  <c r="J368" i="16" s="1"/>
  <c r="H325" i="16"/>
  <c r="F201" i="16"/>
  <c r="F200" i="16" s="1"/>
  <c r="G377" i="16"/>
  <c r="J401" i="16"/>
  <c r="H388" i="16"/>
  <c r="G261" i="16"/>
  <c r="G260" i="16" s="1"/>
  <c r="J303" i="16"/>
  <c r="H283" i="16"/>
  <c r="H379" i="16"/>
  <c r="G378" i="16"/>
  <c r="F261" i="16"/>
  <c r="F260" i="16" s="1"/>
  <c r="H243" i="16"/>
  <c r="G127" i="16"/>
  <c r="G126" i="16" s="1"/>
  <c r="H82" i="16"/>
  <c r="J182" i="16"/>
  <c r="F339" i="16"/>
  <c r="H340" i="16"/>
  <c r="H213" i="16"/>
  <c r="F314" i="16"/>
  <c r="F26" i="16"/>
  <c r="F108" i="16"/>
  <c r="F465" i="16"/>
  <c r="G414" i="16"/>
  <c r="J98" i="16"/>
  <c r="J150" i="16"/>
  <c r="G229" i="16"/>
  <c r="J262" i="16"/>
  <c r="F144" i="16"/>
  <c r="H145" i="16"/>
  <c r="G210" i="16"/>
  <c r="H210" i="16" s="1"/>
  <c r="J211" i="16"/>
  <c r="J418" i="16"/>
  <c r="F133" i="16"/>
  <c r="H134" i="16"/>
  <c r="F230" i="16"/>
  <c r="H233" i="16"/>
  <c r="G466" i="16"/>
  <c r="J467" i="16"/>
  <c r="G489" i="16"/>
  <c r="H489" i="16" s="1"/>
  <c r="J490" i="16"/>
  <c r="G179" i="16"/>
  <c r="G512" i="16"/>
  <c r="J514" i="16"/>
  <c r="G68" i="16"/>
  <c r="J69" i="16"/>
  <c r="J84" i="16"/>
  <c r="J351" i="16"/>
  <c r="F169" i="16"/>
  <c r="J241" i="16"/>
  <c r="F398" i="16"/>
  <c r="H399" i="16"/>
  <c r="G171" i="16"/>
  <c r="J172" i="16"/>
  <c r="J196" i="16"/>
  <c r="F459" i="16"/>
  <c r="J513" i="16"/>
  <c r="F405" i="16"/>
  <c r="H407" i="16"/>
  <c r="H454" i="16"/>
  <c r="H32" i="16"/>
  <c r="J121" i="16"/>
  <c r="G480" i="16"/>
  <c r="H480" i="16" s="1"/>
  <c r="J481" i="16"/>
  <c r="H349" i="16"/>
  <c r="F345" i="16"/>
  <c r="H157" i="16"/>
  <c r="H505" i="16"/>
  <c r="J416" i="16"/>
  <c r="F332" i="16"/>
  <c r="G193" i="16"/>
  <c r="H193" i="16" s="1"/>
  <c r="H369" i="16"/>
  <c r="F415" i="16"/>
  <c r="F378" i="16"/>
  <c r="F53" i="16"/>
  <c r="H54" i="16"/>
  <c r="H121" i="16"/>
  <c r="G162" i="16"/>
  <c r="J163" i="16"/>
  <c r="J213" i="16"/>
  <c r="J243" i="16"/>
  <c r="G272" i="16"/>
  <c r="J273" i="16"/>
  <c r="G385" i="16"/>
  <c r="J388" i="16"/>
  <c r="H291" i="16"/>
  <c r="J39" i="16"/>
  <c r="G38" i="16"/>
  <c r="F137" i="16"/>
  <c r="F238" i="16"/>
  <c r="H239" i="16"/>
  <c r="J449" i="16"/>
  <c r="H513" i="16"/>
  <c r="H418" i="16"/>
  <c r="J87" i="16"/>
  <c r="F127" i="16"/>
  <c r="H128" i="16"/>
  <c r="J188" i="16"/>
  <c r="H188" i="16"/>
  <c r="J349" i="16"/>
  <c r="H241" i="16"/>
  <c r="G223" i="16"/>
  <c r="J226" i="16"/>
  <c r="F518" i="16"/>
  <c r="G473" i="16"/>
  <c r="J474" i="16"/>
  <c r="H84" i="16"/>
  <c r="G112" i="16"/>
  <c r="J113" i="16"/>
  <c r="H113" i="16"/>
  <c r="G424" i="16"/>
  <c r="J425" i="16"/>
  <c r="F479" i="16"/>
  <c r="J420" i="16"/>
  <c r="G339" i="16"/>
  <c r="J340" i="16"/>
  <c r="H150" i="16"/>
  <c r="H211" i="16"/>
  <c r="F254" i="16"/>
  <c r="H255" i="16"/>
  <c r="H396" i="16"/>
  <c r="F298" i="16"/>
  <c r="H299" i="16"/>
  <c r="G442" i="16"/>
  <c r="J443" i="16"/>
  <c r="F280" i="16"/>
  <c r="J280" i="16" s="1"/>
  <c r="H281" i="16"/>
  <c r="H356" i="16"/>
  <c r="J356" i="16"/>
  <c r="G497" i="16"/>
  <c r="G10" i="16"/>
  <c r="J11" i="16"/>
  <c r="I11" i="16"/>
  <c r="F8" i="16"/>
  <c r="J218" i="16"/>
  <c r="F68" i="16"/>
  <c r="H69" i="16"/>
  <c r="J370" i="16"/>
  <c r="F307" i="16"/>
  <c r="H307" i="16" s="1"/>
  <c r="H312" i="16"/>
  <c r="F223" i="16"/>
  <c r="H226" i="16"/>
  <c r="F424" i="16"/>
  <c r="H425" i="16"/>
  <c r="J103" i="16"/>
  <c r="J101" i="16"/>
  <c r="G138" i="16"/>
  <c r="H138" i="16" s="1"/>
  <c r="J369" i="16"/>
  <c r="J208" i="16"/>
  <c r="J358" i="16"/>
  <c r="J187" i="16"/>
  <c r="J432" i="16"/>
  <c r="F512" i="16"/>
  <c r="H514" i="16"/>
  <c r="F377" i="16"/>
  <c r="J32" i="16"/>
  <c r="J28" i="16"/>
  <c r="G27" i="16"/>
  <c r="G133" i="16"/>
  <c r="J134" i="16"/>
  <c r="H449" i="16"/>
  <c r="G298" i="16"/>
  <c r="J299" i="16"/>
  <c r="G144" i="16"/>
  <c r="J145" i="16"/>
  <c r="F192" i="16"/>
  <c r="J224" i="16"/>
  <c r="G519" i="16"/>
  <c r="J520" i="16"/>
  <c r="G290" i="16"/>
  <c r="G279" i="16" s="1"/>
  <c r="H208" i="16"/>
  <c r="H520" i="16"/>
  <c r="F37" i="16"/>
  <c r="J266" i="16"/>
  <c r="G460" i="16"/>
  <c r="H460" i="16" s="1"/>
  <c r="J461" i="16"/>
  <c r="H481" i="16"/>
  <c r="G333" i="16"/>
  <c r="H333" i="16" s="1"/>
  <c r="J334" i="16"/>
  <c r="H103" i="16"/>
  <c r="J22" i="16"/>
  <c r="F43" i="16"/>
  <c r="F42" i="16" s="1"/>
  <c r="F41" i="16" s="1"/>
  <c r="G118" i="16"/>
  <c r="H118" i="16" s="1"/>
  <c r="F110" i="16"/>
  <c r="F117" i="16"/>
  <c r="G201" i="16"/>
  <c r="H432" i="16"/>
  <c r="F406" i="16"/>
  <c r="H406" i="16" s="1"/>
  <c r="G357" i="16"/>
  <c r="G404" i="16"/>
  <c r="J405" i="16"/>
  <c r="F385" i="16"/>
  <c r="J60" i="16"/>
  <c r="G59" i="16"/>
  <c r="H196" i="16"/>
  <c r="J157" i="16"/>
  <c r="J233" i="16"/>
  <c r="G254" i="16"/>
  <c r="J255" i="16"/>
  <c r="H490" i="16"/>
  <c r="J382" i="16"/>
  <c r="J396" i="16"/>
  <c r="G53" i="16"/>
  <c r="J54" i="16"/>
  <c r="J82" i="16"/>
  <c r="J90" i="16"/>
  <c r="F179" i="16"/>
  <c r="H182" i="16"/>
  <c r="H218" i="16"/>
  <c r="J268" i="16"/>
  <c r="J379" i="16"/>
  <c r="J185" i="16"/>
  <c r="H204" i="16"/>
  <c r="J239" i="16"/>
  <c r="J433" i="16"/>
  <c r="H467" i="16"/>
  <c r="G398" i="16"/>
  <c r="J399" i="16"/>
  <c r="J283" i="16"/>
  <c r="F473" i="16"/>
  <c r="H474" i="16"/>
  <c r="G62" i="16"/>
  <c r="J63" i="16"/>
  <c r="H266" i="16"/>
  <c r="J375" i="16"/>
  <c r="J128" i="16"/>
  <c r="J216" i="16"/>
  <c r="H216" i="16"/>
  <c r="F272" i="16"/>
  <c r="H273" i="16"/>
  <c r="F437" i="16"/>
  <c r="H439" i="16"/>
  <c r="J48" i="16"/>
  <c r="H22" i="16"/>
  <c r="J80" i="16"/>
  <c r="F162" i="16"/>
  <c r="H163" i="16"/>
  <c r="H262" i="16"/>
  <c r="H351" i="16"/>
  <c r="J407" i="16"/>
  <c r="F442" i="16"/>
  <c r="H443" i="16"/>
  <c r="H98" i="16"/>
  <c r="J44" i="16"/>
  <c r="H44" i="16"/>
  <c r="G43" i="16"/>
  <c r="G355" i="16"/>
  <c r="G354" i="16"/>
  <c r="H314" i="16" l="1"/>
  <c r="G297" i="16"/>
  <c r="H355" i="16"/>
  <c r="J345" i="16"/>
  <c r="F344" i="16"/>
  <c r="H201" i="16"/>
  <c r="H498" i="16"/>
  <c r="J498" i="16"/>
  <c r="H368" i="16"/>
  <c r="J438" i="16"/>
  <c r="H68" i="16"/>
  <c r="J261" i="16"/>
  <c r="H442" i="16"/>
  <c r="H377" i="16"/>
  <c r="H261" i="16"/>
  <c r="G343" i="16"/>
  <c r="H290" i="16"/>
  <c r="J314" i="16"/>
  <c r="J127" i="16"/>
  <c r="J378" i="16"/>
  <c r="H378" i="16"/>
  <c r="H162" i="16"/>
  <c r="G78" i="16"/>
  <c r="G77" i="16" s="1"/>
  <c r="G278" i="16"/>
  <c r="F222" i="16"/>
  <c r="H223" i="16"/>
  <c r="F7" i="16"/>
  <c r="F496" i="16"/>
  <c r="H497" i="16"/>
  <c r="J442" i="16"/>
  <c r="G436" i="16"/>
  <c r="G435" i="16" s="1"/>
  <c r="G37" i="16"/>
  <c r="H37" i="16" s="1"/>
  <c r="J38" i="16"/>
  <c r="J162" i="16"/>
  <c r="G156" i="16"/>
  <c r="F414" i="16"/>
  <c r="J414" i="16" s="1"/>
  <c r="H415" i="16"/>
  <c r="J79" i="16"/>
  <c r="F156" i="16"/>
  <c r="H398" i="16"/>
  <c r="G511" i="16"/>
  <c r="J512" i="16"/>
  <c r="G178" i="16"/>
  <c r="J179" i="16"/>
  <c r="F229" i="16"/>
  <c r="H230" i="16"/>
  <c r="G228" i="16"/>
  <c r="G413" i="16"/>
  <c r="G403" i="16" s="1"/>
  <c r="J354" i="16"/>
  <c r="F271" i="16"/>
  <c r="H272" i="16"/>
  <c r="J62" i="16"/>
  <c r="J398" i="16"/>
  <c r="G430" i="16"/>
  <c r="F116" i="16"/>
  <c r="G143" i="16"/>
  <c r="J144" i="16"/>
  <c r="G132" i="16"/>
  <c r="J133" i="16"/>
  <c r="H79" i="16"/>
  <c r="H280" i="16"/>
  <c r="F279" i="16"/>
  <c r="F253" i="16"/>
  <c r="H254" i="16"/>
  <c r="J424" i="16"/>
  <c r="G423" i="16"/>
  <c r="J112" i="16"/>
  <c r="G111" i="16"/>
  <c r="H112" i="16"/>
  <c r="G472" i="16"/>
  <c r="J473" i="16"/>
  <c r="F237" i="16"/>
  <c r="J237" i="16" s="1"/>
  <c r="H238" i="16"/>
  <c r="G271" i="16"/>
  <c r="J272" i="16"/>
  <c r="J377" i="16"/>
  <c r="J344" i="16"/>
  <c r="H345" i="16"/>
  <c r="G479" i="16"/>
  <c r="H479" i="16" s="1"/>
  <c r="J480" i="16"/>
  <c r="F404" i="16"/>
  <c r="H404" i="16" s="1"/>
  <c r="H405" i="16"/>
  <c r="J210" i="16"/>
  <c r="F472" i="16"/>
  <c r="F471" i="16" s="1"/>
  <c r="H473" i="16"/>
  <c r="G253" i="16"/>
  <c r="J254" i="16"/>
  <c r="J357" i="16"/>
  <c r="J298" i="16"/>
  <c r="G496" i="16"/>
  <c r="J497" i="16"/>
  <c r="J73" i="16"/>
  <c r="H73" i="16"/>
  <c r="J355" i="16"/>
  <c r="H62" i="16"/>
  <c r="G52" i="16"/>
  <c r="J53" i="16"/>
  <c r="J59" i="16"/>
  <c r="G58" i="16"/>
  <c r="H59" i="16"/>
  <c r="H38" i="16"/>
  <c r="G518" i="16"/>
  <c r="H518" i="16" s="1"/>
  <c r="J519" i="16"/>
  <c r="F191" i="16"/>
  <c r="F447" i="16"/>
  <c r="H448" i="16"/>
  <c r="G26" i="16"/>
  <c r="H26" i="16" s="1"/>
  <c r="J27" i="16"/>
  <c r="F423" i="16"/>
  <c r="H424" i="16"/>
  <c r="F77" i="16"/>
  <c r="H298" i="16"/>
  <c r="F297" i="16"/>
  <c r="G338" i="16"/>
  <c r="J339" i="16"/>
  <c r="H519" i="16"/>
  <c r="G222" i="16"/>
  <c r="J223" i="16"/>
  <c r="F126" i="16"/>
  <c r="H127" i="16"/>
  <c r="J307" i="16"/>
  <c r="G384" i="16"/>
  <c r="J385" i="16"/>
  <c r="H357" i="16"/>
  <c r="G170" i="16"/>
  <c r="J171" i="16"/>
  <c r="H171" i="16"/>
  <c r="J68" i="16"/>
  <c r="J238" i="16"/>
  <c r="G465" i="16"/>
  <c r="H465" i="16" s="1"/>
  <c r="J466" i="16"/>
  <c r="F132" i="16"/>
  <c r="H133" i="16"/>
  <c r="J406" i="16"/>
  <c r="H466" i="16"/>
  <c r="H27" i="16"/>
  <c r="F338" i="16"/>
  <c r="H339" i="16"/>
  <c r="F199" i="16"/>
  <c r="F436" i="16"/>
  <c r="H437" i="16"/>
  <c r="J437" i="16"/>
  <c r="F178" i="16"/>
  <c r="H179" i="16"/>
  <c r="F384" i="16"/>
  <c r="H385" i="16"/>
  <c r="G200" i="16"/>
  <c r="H200" i="16" s="1"/>
  <c r="J201" i="16"/>
  <c r="G117" i="16"/>
  <c r="H117" i="16" s="1"/>
  <c r="J118" i="16"/>
  <c r="G332" i="16"/>
  <c r="J333" i="16"/>
  <c r="G459" i="16"/>
  <c r="J460" i="16"/>
  <c r="F36" i="16"/>
  <c r="F35" i="16" s="1"/>
  <c r="F511" i="16"/>
  <c r="H512" i="16"/>
  <c r="G137" i="16"/>
  <c r="G9" i="16"/>
  <c r="J10" i="16"/>
  <c r="H10" i="16"/>
  <c r="F517" i="16"/>
  <c r="J448" i="16"/>
  <c r="G447" i="16"/>
  <c r="F136" i="16"/>
  <c r="H53" i="16"/>
  <c r="F52" i="16"/>
  <c r="H354" i="16"/>
  <c r="G192" i="16"/>
  <c r="H192" i="16" s="1"/>
  <c r="J193" i="16"/>
  <c r="F259" i="16"/>
  <c r="H260" i="16"/>
  <c r="G236" i="16"/>
  <c r="J489" i="16"/>
  <c r="F143" i="16"/>
  <c r="H144" i="16"/>
  <c r="J230" i="16"/>
  <c r="J415" i="16"/>
  <c r="F458" i="16"/>
  <c r="F25" i="16"/>
  <c r="G259" i="16"/>
  <c r="J260" i="16"/>
  <c r="G42" i="16"/>
  <c r="H43" i="16"/>
  <c r="J43" i="16"/>
  <c r="G471" i="16" l="1"/>
  <c r="F430" i="16"/>
  <c r="F429" i="16" s="1"/>
  <c r="F435" i="16"/>
  <c r="J431" i="16"/>
  <c r="H431" i="16"/>
  <c r="J404" i="16"/>
  <c r="H78" i="16"/>
  <c r="J78" i="16"/>
  <c r="H77" i="16"/>
  <c r="J259" i="16"/>
  <c r="G136" i="16"/>
  <c r="J332" i="16"/>
  <c r="H436" i="16"/>
  <c r="F337" i="16"/>
  <c r="H338" i="16"/>
  <c r="J465" i="16"/>
  <c r="G169" i="16"/>
  <c r="J170" i="16"/>
  <c r="H170" i="16"/>
  <c r="H126" i="16"/>
  <c r="G517" i="16"/>
  <c r="H517" i="16" s="1"/>
  <c r="J518" i="16"/>
  <c r="F14" i="16"/>
  <c r="H15" i="16"/>
  <c r="G110" i="16"/>
  <c r="J111" i="16"/>
  <c r="G109" i="16"/>
  <c r="H111" i="16"/>
  <c r="F278" i="16"/>
  <c r="J278" i="16" s="1"/>
  <c r="H279" i="16"/>
  <c r="G142" i="16"/>
  <c r="J143" i="16"/>
  <c r="J77" i="16"/>
  <c r="F56" i="16"/>
  <c r="F228" i="16"/>
  <c r="H228" i="16" s="1"/>
  <c r="H229" i="16"/>
  <c r="G155" i="16"/>
  <c r="J156" i="16"/>
  <c r="G277" i="16"/>
  <c r="F24" i="16"/>
  <c r="F51" i="16"/>
  <c r="H52" i="16"/>
  <c r="J447" i="16"/>
  <c r="F516" i="16"/>
  <c r="G8" i="16"/>
  <c r="J9" i="16"/>
  <c r="H9" i="16"/>
  <c r="G458" i="16"/>
  <c r="H458" i="16" s="1"/>
  <c r="J459" i="16"/>
  <c r="F177" i="16"/>
  <c r="H178" i="16"/>
  <c r="F131" i="16"/>
  <c r="H132" i="16"/>
  <c r="H332" i="16"/>
  <c r="J384" i="16"/>
  <c r="G367" i="16"/>
  <c r="G337" i="16"/>
  <c r="J338" i="16"/>
  <c r="G25" i="16"/>
  <c r="J26" i="16"/>
  <c r="H472" i="16"/>
  <c r="H344" i="16"/>
  <c r="F343" i="16"/>
  <c r="F342" i="16"/>
  <c r="G270" i="16"/>
  <c r="J271" i="16"/>
  <c r="G131" i="16"/>
  <c r="J132" i="16"/>
  <c r="F270" i="16"/>
  <c r="H271" i="16"/>
  <c r="J229" i="16"/>
  <c r="G36" i="16"/>
  <c r="G35" i="16" s="1"/>
  <c r="J37" i="16"/>
  <c r="H259" i="16"/>
  <c r="F510" i="16"/>
  <c r="H511" i="16"/>
  <c r="G199" i="16"/>
  <c r="H199" i="16" s="1"/>
  <c r="J200" i="16"/>
  <c r="F296" i="16"/>
  <c r="H297" i="16"/>
  <c r="J126" i="16"/>
  <c r="J58" i="16"/>
  <c r="G57" i="16"/>
  <c r="G56" i="16" s="1"/>
  <c r="H58" i="16"/>
  <c r="G495" i="16"/>
  <c r="J496" i="16"/>
  <c r="H459" i="16"/>
  <c r="J472" i="16"/>
  <c r="F115" i="16"/>
  <c r="G510" i="16"/>
  <c r="J511" i="16"/>
  <c r="G14" i="16"/>
  <c r="J15" i="16"/>
  <c r="J436" i="16"/>
  <c r="F495" i="16"/>
  <c r="H496" i="16"/>
  <c r="F221" i="16"/>
  <c r="H222" i="16"/>
  <c r="J297" i="16"/>
  <c r="F446" i="16"/>
  <c r="F142" i="16"/>
  <c r="H143" i="16"/>
  <c r="G191" i="16"/>
  <c r="H191" i="16" s="1"/>
  <c r="J192" i="16"/>
  <c r="H137" i="16"/>
  <c r="G116" i="16"/>
  <c r="H116" i="16" s="1"/>
  <c r="J117" i="16"/>
  <c r="H384" i="16"/>
  <c r="F367" i="16"/>
  <c r="G221" i="16"/>
  <c r="J222" i="16"/>
  <c r="F422" i="16"/>
  <c r="H423" i="16"/>
  <c r="H447" i="16"/>
  <c r="G51" i="16"/>
  <c r="J52" i="16"/>
  <c r="G252" i="16"/>
  <c r="J253" i="16"/>
  <c r="H471" i="16"/>
  <c r="J479" i="16"/>
  <c r="F236" i="16"/>
  <c r="J236" i="16" s="1"/>
  <c r="H237" i="16"/>
  <c r="G422" i="16"/>
  <c r="J423" i="16"/>
  <c r="F252" i="16"/>
  <c r="H252" i="16" s="1"/>
  <c r="H253" i="16"/>
  <c r="G429" i="16"/>
  <c r="G177" i="16"/>
  <c r="J178" i="16"/>
  <c r="F155" i="16"/>
  <c r="H156" i="16"/>
  <c r="F413" i="16"/>
  <c r="H414" i="16"/>
  <c r="J279" i="16"/>
  <c r="G296" i="16"/>
  <c r="G41" i="16"/>
  <c r="H42" i="16"/>
  <c r="J42" i="16"/>
  <c r="J430" i="16" l="1"/>
  <c r="H430" i="16"/>
  <c r="F428" i="16"/>
  <c r="H36" i="16"/>
  <c r="J228" i="16"/>
  <c r="H35" i="16"/>
  <c r="J35" i="16"/>
  <c r="H221" i="16"/>
  <c r="J56" i="16"/>
  <c r="J429" i="16"/>
  <c r="G50" i="16"/>
  <c r="J51" i="16"/>
  <c r="J14" i="16"/>
  <c r="G494" i="16"/>
  <c r="J495" i="16"/>
  <c r="F509" i="16"/>
  <c r="H510" i="16"/>
  <c r="J270" i="16"/>
  <c r="G24" i="16"/>
  <c r="J25" i="16"/>
  <c r="G366" i="16"/>
  <c r="J367" i="16"/>
  <c r="G446" i="16"/>
  <c r="H446" i="16" s="1"/>
  <c r="J458" i="16"/>
  <c r="G7" i="16"/>
  <c r="J8" i="16"/>
  <c r="H8" i="16"/>
  <c r="J110" i="16"/>
  <c r="H110" i="16"/>
  <c r="G295" i="16"/>
  <c r="J296" i="16"/>
  <c r="G176" i="16"/>
  <c r="J177" i="16"/>
  <c r="J422" i="16"/>
  <c r="J252" i="16"/>
  <c r="F141" i="16"/>
  <c r="H142" i="16"/>
  <c r="J435" i="16"/>
  <c r="G198" i="16"/>
  <c r="J199" i="16"/>
  <c r="G235" i="16"/>
  <c r="J131" i="16"/>
  <c r="G125" i="16"/>
  <c r="H342" i="16"/>
  <c r="J342" i="16"/>
  <c r="H131" i="16"/>
  <c r="G141" i="16"/>
  <c r="J142" i="16"/>
  <c r="G108" i="16"/>
  <c r="J109" i="16"/>
  <c r="H109" i="16"/>
  <c r="G516" i="16"/>
  <c r="H516" i="16" s="1"/>
  <c r="J517" i="16"/>
  <c r="H435" i="16"/>
  <c r="F403" i="16"/>
  <c r="H413" i="16"/>
  <c r="F154" i="16"/>
  <c r="H155" i="16"/>
  <c r="J221" i="16"/>
  <c r="F494" i="16"/>
  <c r="H495" i="16"/>
  <c r="J57" i="16"/>
  <c r="H57" i="16"/>
  <c r="F198" i="16"/>
  <c r="H270" i="16"/>
  <c r="H343" i="16"/>
  <c r="J343" i="16"/>
  <c r="F50" i="16"/>
  <c r="H51" i="16"/>
  <c r="H56" i="16"/>
  <c r="H429" i="16"/>
  <c r="H14" i="16"/>
  <c r="F125" i="16"/>
  <c r="J471" i="16"/>
  <c r="J413" i="16"/>
  <c r="H236" i="16"/>
  <c r="F235" i="16"/>
  <c r="H422" i="16"/>
  <c r="F366" i="16"/>
  <c r="H367" i="16"/>
  <c r="G115" i="16"/>
  <c r="H115" i="16" s="1"/>
  <c r="J116" i="16"/>
  <c r="J191" i="16"/>
  <c r="G509" i="16"/>
  <c r="J510" i="16"/>
  <c r="F295" i="16"/>
  <c r="H296" i="16"/>
  <c r="J36" i="16"/>
  <c r="G336" i="16"/>
  <c r="J337" i="16"/>
  <c r="F176" i="16"/>
  <c r="H177" i="16"/>
  <c r="H25" i="16"/>
  <c r="G154" i="16"/>
  <c r="J155" i="16"/>
  <c r="F277" i="16"/>
  <c r="H278" i="16"/>
  <c r="J169" i="16"/>
  <c r="H169" i="16"/>
  <c r="F336" i="16"/>
  <c r="H337" i="16"/>
  <c r="H136" i="16"/>
  <c r="J41" i="16"/>
  <c r="H41" i="16"/>
  <c r="G276" i="16" l="1"/>
  <c r="G428" i="16"/>
  <c r="H428" i="16" s="1"/>
  <c r="F276" i="16"/>
  <c r="H50" i="16"/>
  <c r="G6" i="16"/>
  <c r="F6" i="16"/>
  <c r="H295" i="16"/>
  <c r="H494" i="16"/>
  <c r="H176" i="16"/>
  <c r="H125" i="16"/>
  <c r="H277" i="16"/>
  <c r="J336" i="16"/>
  <c r="J509" i="16"/>
  <c r="F175" i="16"/>
  <c r="H198" i="16"/>
  <c r="J235" i="16"/>
  <c r="J24" i="16"/>
  <c r="H509" i="16"/>
  <c r="F365" i="16"/>
  <c r="H366" i="16"/>
  <c r="H403" i="16"/>
  <c r="J403" i="16"/>
  <c r="J141" i="16"/>
  <c r="J125" i="16"/>
  <c r="G365" i="16"/>
  <c r="J366" i="16"/>
  <c r="J50" i="16"/>
  <c r="J277" i="16"/>
  <c r="J516" i="16"/>
  <c r="J108" i="16"/>
  <c r="H108" i="16"/>
  <c r="H141" i="16"/>
  <c r="F124" i="16"/>
  <c r="J295" i="16"/>
  <c r="H24" i="16"/>
  <c r="J446" i="16"/>
  <c r="H336" i="16"/>
  <c r="G124" i="16"/>
  <c r="J154" i="16"/>
  <c r="J115" i="16"/>
  <c r="H235" i="16"/>
  <c r="H154" i="16"/>
  <c r="J198" i="16"/>
  <c r="G175" i="16"/>
  <c r="J176" i="16"/>
  <c r="J7" i="16"/>
  <c r="H7" i="16"/>
  <c r="J494" i="16"/>
  <c r="F523" i="16" l="1"/>
  <c r="G523" i="16"/>
  <c r="H6" i="16"/>
  <c r="J428" i="16"/>
  <c r="J6" i="16"/>
  <c r="J276" i="16"/>
  <c r="H124" i="16"/>
  <c r="J365" i="16"/>
  <c r="H175" i="16"/>
  <c r="J175" i="16"/>
  <c r="J124" i="16"/>
  <c r="H365" i="16"/>
  <c r="H276" i="16"/>
  <c r="H523" i="16" l="1"/>
  <c r="J523" i="16"/>
  <c r="E145" i="16" l="1"/>
  <c r="I145" i="16" s="1"/>
  <c r="E224" i="16" l="1"/>
  <c r="E194" i="16"/>
  <c r="E32" i="16"/>
  <c r="E121" i="16" l="1"/>
  <c r="I121" i="16" s="1"/>
  <c r="E329" i="16" l="1"/>
  <c r="E328" i="16" s="1"/>
  <c r="E291" i="16"/>
  <c r="E327" i="16" l="1"/>
  <c r="I327" i="16" s="1"/>
  <c r="E262" i="16"/>
  <c r="E321" i="16" l="1"/>
  <c r="E319" i="16"/>
  <c r="E317" i="16"/>
  <c r="E399" i="16"/>
  <c r="E315" i="16" l="1"/>
  <c r="E250" i="16"/>
  <c r="E248" i="16"/>
  <c r="E246" i="16"/>
  <c r="E244" i="16"/>
  <c r="E134" i="16"/>
  <c r="E487" i="16"/>
  <c r="E486" i="16" l="1"/>
  <c r="E133" i="16"/>
  <c r="I134" i="16"/>
  <c r="E243" i="16"/>
  <c r="E139" i="16"/>
  <c r="E132" i="16" l="1"/>
  <c r="I133" i="16"/>
  <c r="E138" i="16"/>
  <c r="I139" i="16"/>
  <c r="E196" i="16"/>
  <c r="E96" i="16"/>
  <c r="I96" i="16" s="1"/>
  <c r="E119" i="16"/>
  <c r="E193" i="16" l="1"/>
  <c r="I193" i="16" s="1"/>
  <c r="I196" i="16"/>
  <c r="E131" i="16"/>
  <c r="I131" i="16" s="1"/>
  <c r="I132" i="16"/>
  <c r="E118" i="16"/>
  <c r="I118" i="16" s="1"/>
  <c r="I119" i="16"/>
  <c r="E137" i="16"/>
  <c r="I138" i="16"/>
  <c r="E219" i="16"/>
  <c r="E482" i="16"/>
  <c r="I482" i="16" s="1"/>
  <c r="E484" i="16"/>
  <c r="I484" i="16" s="1"/>
  <c r="E218" i="16" l="1"/>
  <c r="I218" i="16" s="1"/>
  <c r="I219" i="16"/>
  <c r="E136" i="16"/>
  <c r="I136" i="16" s="1"/>
  <c r="I137" i="16"/>
  <c r="E481" i="16"/>
  <c r="E480" i="16" l="1"/>
  <c r="I480" i="16" s="1"/>
  <c r="I481" i="16"/>
  <c r="I450" i="16"/>
  <c r="E529" i="16" l="1"/>
  <c r="E22" i="16"/>
  <c r="I22" i="16" s="1"/>
  <c r="E20" i="16"/>
  <c r="I20" i="16" s="1"/>
  <c r="E16" i="16"/>
  <c r="E477" i="16"/>
  <c r="I477" i="16" s="1"/>
  <c r="E475" i="16"/>
  <c r="I475" i="16" s="1"/>
  <c r="E455" i="16"/>
  <c r="E444" i="16"/>
  <c r="E440" i="16"/>
  <c r="E358" i="16"/>
  <c r="E349" i="16"/>
  <c r="I349" i="16" s="1"/>
  <c r="E346" i="16"/>
  <c r="I346" i="16" s="1"/>
  <c r="E340" i="16"/>
  <c r="E334" i="16"/>
  <c r="E330" i="16"/>
  <c r="I330" i="16" s="1"/>
  <c r="E325" i="16"/>
  <c r="I325" i="16" s="1"/>
  <c r="E323" i="16"/>
  <c r="I323" i="16" s="1"/>
  <c r="E312" i="16"/>
  <c r="I312" i="16" s="1"/>
  <c r="E310" i="16"/>
  <c r="I310" i="16" s="1"/>
  <c r="E308" i="16"/>
  <c r="I308" i="16" s="1"/>
  <c r="E305" i="16"/>
  <c r="I305" i="16" s="1"/>
  <c r="E303" i="16"/>
  <c r="I303" i="16" s="1"/>
  <c r="E301" i="16"/>
  <c r="I301" i="16" s="1"/>
  <c r="E299" i="16"/>
  <c r="I299" i="16" s="1"/>
  <c r="E293" i="16"/>
  <c r="E288" i="16"/>
  <c r="E287" i="16" s="1"/>
  <c r="E285" i="16"/>
  <c r="I285" i="16" s="1"/>
  <c r="E283" i="16"/>
  <c r="I283" i="16" s="1"/>
  <c r="E281" i="16"/>
  <c r="I281" i="16" s="1"/>
  <c r="E420" i="16"/>
  <c r="I420" i="16" s="1"/>
  <c r="E418" i="16"/>
  <c r="I418" i="16" s="1"/>
  <c r="E416" i="16"/>
  <c r="I416" i="16" s="1"/>
  <c r="E411" i="16"/>
  <c r="E407" i="16"/>
  <c r="I407" i="16" s="1"/>
  <c r="E401" i="16"/>
  <c r="E396" i="16"/>
  <c r="I396" i="16" s="1"/>
  <c r="E394" i="16"/>
  <c r="I394" i="16" s="1"/>
  <c r="E392" i="16"/>
  <c r="E390" i="16"/>
  <c r="E388" i="16"/>
  <c r="I388" i="16" s="1"/>
  <c r="E386" i="16"/>
  <c r="I386" i="16" s="1"/>
  <c r="E382" i="16"/>
  <c r="I382" i="16" s="1"/>
  <c r="E379" i="16"/>
  <c r="I379" i="16" s="1"/>
  <c r="E375" i="16"/>
  <c r="I375" i="16" s="1"/>
  <c r="E370" i="16"/>
  <c r="I370" i="16" s="1"/>
  <c r="E369" i="16"/>
  <c r="I369" i="16" s="1"/>
  <c r="E521" i="16"/>
  <c r="E514" i="16"/>
  <c r="E513" i="16"/>
  <c r="I513" i="16" s="1"/>
  <c r="E507" i="16"/>
  <c r="I507" i="16" s="1"/>
  <c r="E505" i="16"/>
  <c r="I505" i="16" s="1"/>
  <c r="E503" i="16"/>
  <c r="I503" i="16" s="1"/>
  <c r="E501" i="16"/>
  <c r="I501" i="16" s="1"/>
  <c r="E499" i="16"/>
  <c r="I499" i="16" s="1"/>
  <c r="E491" i="16"/>
  <c r="I491" i="16" s="1"/>
  <c r="E479" i="16"/>
  <c r="I479" i="16" s="1"/>
  <c r="E469" i="16"/>
  <c r="I469" i="16" s="1"/>
  <c r="E467" i="16"/>
  <c r="I467" i="16" s="1"/>
  <c r="E463" i="16"/>
  <c r="I463" i="16" s="1"/>
  <c r="E461" i="16"/>
  <c r="I461" i="16" s="1"/>
  <c r="E449" i="16"/>
  <c r="E433" i="16"/>
  <c r="E426" i="16"/>
  <c r="E352" i="16"/>
  <c r="E274" i="16"/>
  <c r="E268" i="16"/>
  <c r="I268" i="16" s="1"/>
  <c r="E266" i="16"/>
  <c r="I266" i="16" s="1"/>
  <c r="E264" i="16"/>
  <c r="I264" i="16" s="1"/>
  <c r="E257" i="16"/>
  <c r="I257" i="16" s="1"/>
  <c r="E255" i="16"/>
  <c r="I255" i="16" s="1"/>
  <c r="E241" i="16"/>
  <c r="I241" i="16" s="1"/>
  <c r="E239" i="16"/>
  <c r="I239" i="16" s="1"/>
  <c r="E233" i="16"/>
  <c r="I233" i="16" s="1"/>
  <c r="E231" i="16"/>
  <c r="I231" i="16" s="1"/>
  <c r="E226" i="16"/>
  <c r="E216" i="16"/>
  <c r="I216" i="16" s="1"/>
  <c r="E214" i="16"/>
  <c r="I214" i="16" s="1"/>
  <c r="E211" i="16"/>
  <c r="E208" i="16"/>
  <c r="I208" i="16" s="1"/>
  <c r="E206" i="16"/>
  <c r="I206" i="16" s="1"/>
  <c r="E204" i="16"/>
  <c r="I204" i="16" s="1"/>
  <c r="E202" i="16"/>
  <c r="I202" i="16" s="1"/>
  <c r="E189" i="16"/>
  <c r="E185" i="16"/>
  <c r="I185" i="16" s="1"/>
  <c r="E182" i="16"/>
  <c r="I182" i="16" s="1"/>
  <c r="E180" i="16"/>
  <c r="I180" i="16" s="1"/>
  <c r="E173" i="16"/>
  <c r="E167" i="16"/>
  <c r="I167" i="16" s="1"/>
  <c r="E165" i="16"/>
  <c r="I165" i="16" s="1"/>
  <c r="E163" i="16"/>
  <c r="I163" i="16" s="1"/>
  <c r="E160" i="16"/>
  <c r="I160" i="16" s="1"/>
  <c r="E158" i="16"/>
  <c r="I158" i="16" s="1"/>
  <c r="E152" i="16"/>
  <c r="I152" i="16" s="1"/>
  <c r="E150" i="16"/>
  <c r="I150" i="16" s="1"/>
  <c r="E148" i="16"/>
  <c r="E129" i="16"/>
  <c r="E113" i="16"/>
  <c r="E101" i="16"/>
  <c r="I101" i="16" s="1"/>
  <c r="E98" i="16"/>
  <c r="I98" i="16" s="1"/>
  <c r="E93" i="16"/>
  <c r="I93" i="16" s="1"/>
  <c r="E90" i="16"/>
  <c r="I90" i="16" s="1"/>
  <c r="E87" i="16"/>
  <c r="I87" i="16" s="1"/>
  <c r="E84" i="16"/>
  <c r="E82" i="16"/>
  <c r="I82" i="16" s="1"/>
  <c r="E80" i="16"/>
  <c r="I80" i="16" s="1"/>
  <c r="E75" i="16"/>
  <c r="I75" i="16" s="1"/>
  <c r="E74" i="16"/>
  <c r="E71" i="16"/>
  <c r="I71" i="16" s="1"/>
  <c r="E70" i="16"/>
  <c r="I70" i="16" s="1"/>
  <c r="E66" i="16"/>
  <c r="I66" i="16" s="1"/>
  <c r="E64" i="16"/>
  <c r="I64" i="16" s="1"/>
  <c r="E60" i="16"/>
  <c r="E54" i="16"/>
  <c r="E39" i="16"/>
  <c r="E28" i="16"/>
  <c r="E10" i="16"/>
  <c r="E48" i="16"/>
  <c r="I48" i="16" s="1"/>
  <c r="E45" i="16"/>
  <c r="I16" i="16" l="1"/>
  <c r="E15" i="16"/>
  <c r="I74" i="16"/>
  <c r="E73" i="16"/>
  <c r="I84" i="16"/>
  <c r="E79" i="16"/>
  <c r="E78" i="16" s="1"/>
  <c r="E77" i="16" s="1"/>
  <c r="E172" i="16"/>
  <c r="I173" i="16"/>
  <c r="E188" i="16"/>
  <c r="I188" i="16" s="1"/>
  <c r="I189" i="16"/>
  <c r="E454" i="16"/>
  <c r="E448" i="16" s="1"/>
  <c r="I455" i="16"/>
  <c r="E44" i="16"/>
  <c r="I44" i="16" s="1"/>
  <c r="I45" i="16"/>
  <c r="E273" i="16"/>
  <c r="I274" i="16"/>
  <c r="I449" i="16"/>
  <c r="E439" i="16"/>
  <c r="E438" i="16" s="1"/>
  <c r="I438" i="16" s="1"/>
  <c r="I440" i="16"/>
  <c r="E425" i="16"/>
  <c r="I426" i="16"/>
  <c r="E351" i="16"/>
  <c r="I352" i="16"/>
  <c r="E443" i="16"/>
  <c r="I444" i="16"/>
  <c r="I103" i="16"/>
  <c r="E357" i="16"/>
  <c r="I357" i="16" s="1"/>
  <c r="I358" i="16"/>
  <c r="E339" i="16"/>
  <c r="I340" i="16"/>
  <c r="E314" i="16"/>
  <c r="I314" i="16" s="1"/>
  <c r="E333" i="16"/>
  <c r="I334" i="16"/>
  <c r="E290" i="16"/>
  <c r="I290" i="16" s="1"/>
  <c r="I293" i="16"/>
  <c r="E398" i="16"/>
  <c r="E512" i="16"/>
  <c r="I514" i="16"/>
  <c r="I433" i="16"/>
  <c r="E223" i="16"/>
  <c r="I223" i="16" s="1"/>
  <c r="I226" i="16"/>
  <c r="E210" i="16"/>
  <c r="I210" i="16" s="1"/>
  <c r="I211" i="16"/>
  <c r="E128" i="16"/>
  <c r="E112" i="16"/>
  <c r="I113" i="16"/>
  <c r="E59" i="16"/>
  <c r="I60" i="16"/>
  <c r="E53" i="16"/>
  <c r="I54" i="16"/>
  <c r="E38" i="16"/>
  <c r="I39" i="16"/>
  <c r="E27" i="16"/>
  <c r="I27" i="16" s="1"/>
  <c r="I28" i="16"/>
  <c r="E9" i="16"/>
  <c r="I10" i="16"/>
  <c r="E144" i="16"/>
  <c r="I144" i="16" s="1"/>
  <c r="I148" i="16"/>
  <c r="E520" i="16"/>
  <c r="I521" i="16"/>
  <c r="E261" i="16"/>
  <c r="E490" i="16"/>
  <c r="E406" i="16"/>
  <c r="I406" i="16" s="1"/>
  <c r="E368" i="16"/>
  <c r="I368" i="16" s="1"/>
  <c r="E192" i="16"/>
  <c r="E307" i="16"/>
  <c r="I307" i="16" s="1"/>
  <c r="E117" i="16"/>
  <c r="E415" i="16"/>
  <c r="E405" i="16"/>
  <c r="E466" i="16"/>
  <c r="E460" i="16"/>
  <c r="E254" i="16"/>
  <c r="E238" i="16"/>
  <c r="I238" i="16" s="1"/>
  <c r="E298" i="16"/>
  <c r="I298" i="16" s="1"/>
  <c r="E280" i="16"/>
  <c r="E474" i="16"/>
  <c r="E63" i="16"/>
  <c r="E498" i="16"/>
  <c r="I498" i="16" s="1"/>
  <c r="E157" i="16"/>
  <c r="I157" i="16" s="1"/>
  <c r="E356" i="16"/>
  <c r="E162" i="16"/>
  <c r="I162" i="16" s="1"/>
  <c r="E213" i="16"/>
  <c r="I213" i="16" s="1"/>
  <c r="E187" i="16"/>
  <c r="I187" i="16" s="1"/>
  <c r="E432" i="16"/>
  <c r="E230" i="16"/>
  <c r="E69" i="16"/>
  <c r="E179" i="16"/>
  <c r="I179" i="16" s="1"/>
  <c r="E345" i="16"/>
  <c r="E344" i="16" s="1"/>
  <c r="E342" i="16" s="1"/>
  <c r="E201" i="16"/>
  <c r="I201" i="16" s="1"/>
  <c r="E377" i="16"/>
  <c r="I377" i="16" s="1"/>
  <c r="E385" i="16"/>
  <c r="E143" i="16"/>
  <c r="E378" i="16"/>
  <c r="I378" i="16" s="1"/>
  <c r="E43" i="16" l="1"/>
  <c r="I432" i="16"/>
  <c r="E431" i="16"/>
  <c r="E222" i="16"/>
  <c r="I222" i="16" s="1"/>
  <c r="E68" i="16"/>
  <c r="I68" i="16" s="1"/>
  <c r="I69" i="16"/>
  <c r="E442" i="16"/>
  <c r="I442" i="16" s="1"/>
  <c r="I443" i="16"/>
  <c r="E424" i="16"/>
  <c r="I425" i="16"/>
  <c r="E447" i="16"/>
  <c r="I448" i="16"/>
  <c r="E62" i="16"/>
  <c r="I62" i="16" s="1"/>
  <c r="I63" i="16"/>
  <c r="E473" i="16"/>
  <c r="I474" i="16"/>
  <c r="I351" i="16"/>
  <c r="E437" i="16"/>
  <c r="E436" i="16" s="1"/>
  <c r="E435" i="16" s="1"/>
  <c r="I439" i="16"/>
  <c r="E272" i="16"/>
  <c r="I273" i="16"/>
  <c r="I454" i="16"/>
  <c r="E171" i="16"/>
  <c r="I172" i="16"/>
  <c r="E354" i="16"/>
  <c r="I354" i="16" s="1"/>
  <c r="I356" i="16"/>
  <c r="I345" i="16"/>
  <c r="E338" i="16"/>
  <c r="I339" i="16"/>
  <c r="E332" i="16"/>
  <c r="I332" i="16" s="1"/>
  <c r="I333" i="16"/>
  <c r="E279" i="16"/>
  <c r="I280" i="16"/>
  <c r="E414" i="16"/>
  <c r="I415" i="16"/>
  <c r="E404" i="16"/>
  <c r="I404" i="16" s="1"/>
  <c r="I405" i="16"/>
  <c r="E384" i="16"/>
  <c r="I384" i="16" s="1"/>
  <c r="I385" i="16"/>
  <c r="E511" i="16"/>
  <c r="I512" i="16"/>
  <c r="E465" i="16"/>
  <c r="I465" i="16" s="1"/>
  <c r="I466" i="16"/>
  <c r="E459" i="16"/>
  <c r="I459" i="16" s="1"/>
  <c r="I460" i="16"/>
  <c r="E260" i="16"/>
  <c r="I261" i="16"/>
  <c r="E253" i="16"/>
  <c r="I254" i="16"/>
  <c r="E229" i="16"/>
  <c r="I230" i="16"/>
  <c r="E221" i="16"/>
  <c r="I221" i="16" s="1"/>
  <c r="E191" i="16"/>
  <c r="I191" i="16" s="1"/>
  <c r="I192" i="16"/>
  <c r="E127" i="16"/>
  <c r="E111" i="16"/>
  <c r="I112" i="16"/>
  <c r="E58" i="16"/>
  <c r="I58" i="16" s="1"/>
  <c r="I59" i="16"/>
  <c r="E52" i="16"/>
  <c r="I53" i="16"/>
  <c r="E37" i="16"/>
  <c r="I38" i="16"/>
  <c r="E26" i="16"/>
  <c r="E42" i="16"/>
  <c r="I43" i="16"/>
  <c r="E8" i="16"/>
  <c r="I9" i="16"/>
  <c r="E142" i="16"/>
  <c r="I143" i="16"/>
  <c r="I79" i="16"/>
  <c r="E489" i="16"/>
  <c r="I490" i="16"/>
  <c r="E116" i="16"/>
  <c r="I117" i="16"/>
  <c r="E519" i="16"/>
  <c r="I520" i="16"/>
  <c r="E237" i="16"/>
  <c r="E497" i="16"/>
  <c r="E297" i="16"/>
  <c r="E200" i="16"/>
  <c r="E156" i="16"/>
  <c r="E355" i="16"/>
  <c r="I355" i="16" s="1"/>
  <c r="I73" i="16"/>
  <c r="E178" i="16"/>
  <c r="E343" i="16"/>
  <c r="I343" i="16" s="1"/>
  <c r="I447" i="16" l="1"/>
  <c r="E458" i="16"/>
  <c r="E446" i="16" s="1"/>
  <c r="I437" i="16"/>
  <c r="E472" i="16"/>
  <c r="E471" i="16" s="1"/>
  <c r="I473" i="16"/>
  <c r="E367" i="16"/>
  <c r="E366" i="16" s="1"/>
  <c r="I366" i="16" s="1"/>
  <c r="E57" i="16"/>
  <c r="I57" i="16" s="1"/>
  <c r="E170" i="16"/>
  <c r="I171" i="16"/>
  <c r="E271" i="16"/>
  <c r="I272" i="16"/>
  <c r="E423" i="16"/>
  <c r="I424" i="16"/>
  <c r="I342" i="16"/>
  <c r="I344" i="16"/>
  <c r="E337" i="16"/>
  <c r="I338" i="16"/>
  <c r="E296" i="16"/>
  <c r="I297" i="16"/>
  <c r="E278" i="16"/>
  <c r="I279" i="16"/>
  <c r="E413" i="16"/>
  <c r="I413" i="16" s="1"/>
  <c r="I414" i="16"/>
  <c r="E496" i="16"/>
  <c r="I497" i="16"/>
  <c r="E510" i="16"/>
  <c r="I511" i="16"/>
  <c r="E259" i="16"/>
  <c r="I259" i="16" s="1"/>
  <c r="I260" i="16"/>
  <c r="E252" i="16"/>
  <c r="I252" i="16" s="1"/>
  <c r="I253" i="16"/>
  <c r="E236" i="16"/>
  <c r="I237" i="16"/>
  <c r="E228" i="16"/>
  <c r="I228" i="16" s="1"/>
  <c r="I229" i="16"/>
  <c r="E199" i="16"/>
  <c r="I200" i="16"/>
  <c r="E177" i="16"/>
  <c r="I178" i="16"/>
  <c r="E155" i="16"/>
  <c r="I155" i="16" s="1"/>
  <c r="I156" i="16"/>
  <c r="E126" i="16"/>
  <c r="I111" i="16"/>
  <c r="E109" i="16"/>
  <c r="E110" i="16"/>
  <c r="I110" i="16" s="1"/>
  <c r="E51" i="16"/>
  <c r="I52" i="16"/>
  <c r="E36" i="16"/>
  <c r="I37" i="16"/>
  <c r="E25" i="16"/>
  <c r="I26" i="16"/>
  <c r="E41" i="16"/>
  <c r="I42" i="16"/>
  <c r="E7" i="16"/>
  <c r="I7" i="16" s="1"/>
  <c r="I8" i="16"/>
  <c r="I471" i="16"/>
  <c r="I489" i="16"/>
  <c r="E141" i="16"/>
  <c r="I141" i="16" s="1"/>
  <c r="I142" i="16"/>
  <c r="E154" i="16"/>
  <c r="E518" i="16"/>
  <c r="I519" i="16"/>
  <c r="E115" i="16"/>
  <c r="I115" i="16" s="1"/>
  <c r="I116" i="16"/>
  <c r="I78" i="16"/>
  <c r="I446" i="16" l="1"/>
  <c r="I36" i="16"/>
  <c r="E35" i="16"/>
  <c r="I35" i="16" s="1"/>
  <c r="I367" i="16"/>
  <c r="I458" i="16"/>
  <c r="E430" i="16"/>
  <c r="I431" i="16"/>
  <c r="I436" i="16"/>
  <c r="E422" i="16"/>
  <c r="I422" i="16" s="1"/>
  <c r="I423" i="16"/>
  <c r="E270" i="16"/>
  <c r="I270" i="16" s="1"/>
  <c r="I271" i="16"/>
  <c r="E403" i="16"/>
  <c r="I403" i="16" s="1"/>
  <c r="E169" i="16"/>
  <c r="I169" i="16" s="1"/>
  <c r="I170" i="16"/>
  <c r="I472" i="16"/>
  <c r="E336" i="16"/>
  <c r="I336" i="16" s="1"/>
  <c r="I337" i="16"/>
  <c r="E295" i="16"/>
  <c r="I295" i="16" s="1"/>
  <c r="I296" i="16"/>
  <c r="E277" i="16"/>
  <c r="I278" i="16"/>
  <c r="E495" i="16"/>
  <c r="I496" i="16"/>
  <c r="E509" i="16"/>
  <c r="I509" i="16" s="1"/>
  <c r="I510" i="16"/>
  <c r="E235" i="16"/>
  <c r="I235" i="16" s="1"/>
  <c r="I236" i="16"/>
  <c r="E198" i="16"/>
  <c r="I198" i="16" s="1"/>
  <c r="I199" i="16"/>
  <c r="E176" i="16"/>
  <c r="I177" i="16"/>
  <c r="E125" i="16"/>
  <c r="I125" i="16" s="1"/>
  <c r="E108" i="16"/>
  <c r="I108" i="16" s="1"/>
  <c r="I109" i="16"/>
  <c r="E50" i="16"/>
  <c r="I50" i="16" s="1"/>
  <c r="I51" i="16"/>
  <c r="E24" i="16"/>
  <c r="I24" i="16" s="1"/>
  <c r="I25" i="16"/>
  <c r="I41" i="16"/>
  <c r="E517" i="16"/>
  <c r="I518" i="16"/>
  <c r="I77" i="16"/>
  <c r="E56" i="16"/>
  <c r="E14" i="16"/>
  <c r="I15" i="16"/>
  <c r="I154" i="16"/>
  <c r="F525" i="16"/>
  <c r="E276" i="16" l="1"/>
  <c r="E6" i="16"/>
  <c r="E365" i="16"/>
  <c r="I365" i="16" s="1"/>
  <c r="E429" i="16"/>
  <c r="I430" i="16"/>
  <c r="I435" i="16"/>
  <c r="I277" i="16"/>
  <c r="E494" i="16"/>
  <c r="I494" i="16" s="1"/>
  <c r="I495" i="16"/>
  <c r="I176" i="16"/>
  <c r="E175" i="16"/>
  <c r="I175" i="16" s="1"/>
  <c r="E124" i="16"/>
  <c r="I124" i="16" s="1"/>
  <c r="I14" i="16"/>
  <c r="I56" i="16"/>
  <c r="E516" i="16"/>
  <c r="I516" i="16" s="1"/>
  <c r="I517" i="16"/>
  <c r="G526" i="16"/>
  <c r="F526" i="16"/>
  <c r="G525" i="16"/>
  <c r="I429" i="16" l="1"/>
  <c r="E428" i="16"/>
  <c r="E523" i="16" s="1"/>
  <c r="I276" i="16"/>
  <c r="I6" i="16"/>
  <c r="I428" i="16" l="1"/>
  <c r="E526" i="16"/>
  <c r="E525" i="16" l="1"/>
  <c r="I523" i="16"/>
</calcChain>
</file>

<file path=xl/sharedStrings.xml><?xml version="1.0" encoding="utf-8"?>
<sst xmlns="http://schemas.openxmlformats.org/spreadsheetml/2006/main" count="2163" uniqueCount="567">
  <si>
    <t>02 0 00 00000</t>
  </si>
  <si>
    <t>02 3 00 00000</t>
  </si>
  <si>
    <t>01 0 00 00000</t>
  </si>
  <si>
    <t>01 1 00 00000</t>
  </si>
  <si>
    <t>01 1 01 20030</t>
  </si>
  <si>
    <t>03 0 00 00000</t>
  </si>
  <si>
    <t>06 3 00 00000</t>
  </si>
  <si>
    <t>Подпрограмма "Доступная среда"</t>
  </si>
  <si>
    <t>09 0 00 00000</t>
  </si>
  <si>
    <t>09 1 00 00000</t>
  </si>
  <si>
    <t>05 0 00 00000</t>
  </si>
  <si>
    <t>05 1 00 00000</t>
  </si>
  <si>
    <t>05 1 01 70590</t>
  </si>
  <si>
    <t>05 1 01 70610</t>
  </si>
  <si>
    <t>05 2 00 00000</t>
  </si>
  <si>
    <t>05 2 01 70590</t>
  </si>
  <si>
    <t>05 2 01 70610</t>
  </si>
  <si>
    <t>05 4 00 00000</t>
  </si>
  <si>
    <t>02 1 00 00000</t>
  </si>
  <si>
    <t>02 2 00 00000</t>
  </si>
  <si>
    <t>02 3 02 93080</t>
  </si>
  <si>
    <t>02 5 00 00000</t>
  </si>
  <si>
    <t>02 5 01 70590</t>
  </si>
  <si>
    <t>Подпрограмма "Социальная поддержка семей и детей"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</si>
  <si>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</si>
  <si>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99 0 00 10040</t>
  </si>
  <si>
    <t>000</t>
  </si>
  <si>
    <t>Общегосударственные вопросы</t>
  </si>
  <si>
    <t>Обслуживание государственного и муниципального долга</t>
  </si>
  <si>
    <t>Резервные фонды</t>
  </si>
  <si>
    <t>Образование</t>
  </si>
  <si>
    <t>Общее образование</t>
  </si>
  <si>
    <t>Другие вопросы в области образования</t>
  </si>
  <si>
    <t>Пенсионное обеспечение</t>
  </si>
  <si>
    <t>Наименование</t>
  </si>
  <si>
    <t>Целевая статья</t>
  </si>
  <si>
    <t>Вид расходов</t>
  </si>
  <si>
    <t>Дошкольное образование</t>
  </si>
  <si>
    <t>0801</t>
  </si>
  <si>
    <t>Процентные платежи по муниципальному долгу</t>
  </si>
  <si>
    <t>Культура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</si>
  <si>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</si>
  <si>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Физическая культура и спорт</t>
  </si>
  <si>
    <t>Руководство и управление в сфере установленных функций</t>
  </si>
  <si>
    <t>0700</t>
  </si>
  <si>
    <t>0701</t>
  </si>
  <si>
    <t>0702</t>
  </si>
  <si>
    <t>0709</t>
  </si>
  <si>
    <t>1001</t>
  </si>
  <si>
    <t>0100</t>
  </si>
  <si>
    <t>0800</t>
  </si>
  <si>
    <t>1100</t>
  </si>
  <si>
    <t>0103</t>
  </si>
  <si>
    <t>0104</t>
  </si>
  <si>
    <t>0106</t>
  </si>
  <si>
    <t>Национальная экономика</t>
  </si>
  <si>
    <t>0400</t>
  </si>
  <si>
    <t>Социальная политика</t>
  </si>
  <si>
    <t>1000</t>
  </si>
  <si>
    <t>Обеспечение деятельностит финансовых, налоговых и таможенных органов и органов финансового (финансово- бюджетного) надзора</t>
  </si>
  <si>
    <t>Всего расходов</t>
  </si>
  <si>
    <t>Раздел, подраздел</t>
  </si>
  <si>
    <t>Транспорт</t>
  </si>
  <si>
    <t>0408</t>
  </si>
  <si>
    <t>0111</t>
  </si>
  <si>
    <t>0113</t>
  </si>
  <si>
    <t>1300</t>
  </si>
  <si>
    <t>Обслуживание государственного внутреннего  и муниципального долга</t>
  </si>
  <si>
    <t>Культура и  кинематография</t>
  </si>
  <si>
    <t>0804</t>
  </si>
  <si>
    <t>Охрана семьи и детства</t>
  </si>
  <si>
    <t>1004</t>
  </si>
  <si>
    <t>Средства массовой информации</t>
  </si>
  <si>
    <t>1200</t>
  </si>
  <si>
    <t>Периодическая печать и издательства</t>
  </si>
  <si>
    <t>1202</t>
  </si>
  <si>
    <t>Национальная оборона</t>
  </si>
  <si>
    <t>0200</t>
  </si>
  <si>
    <t>0203</t>
  </si>
  <si>
    <t>Расходы, связанные с исполнением решений, принятых судебными органами</t>
  </si>
  <si>
    <t>Резервные средства</t>
  </si>
  <si>
    <t>870</t>
  </si>
  <si>
    <t>810</t>
  </si>
  <si>
    <t>0707</t>
  </si>
  <si>
    <t>Социальное обеспечение населения</t>
  </si>
  <si>
    <t>1003</t>
  </si>
  <si>
    <t>Здравоохранение</t>
  </si>
  <si>
    <t>Другие вопросы в области здравоохранения</t>
  </si>
  <si>
    <t>0900</t>
  </si>
  <si>
    <t>0909</t>
  </si>
  <si>
    <t>Дорожное хозяйство (дорожные фонды)</t>
  </si>
  <si>
    <t>0409</t>
  </si>
  <si>
    <t>Руководство и управление в сфере установленных функций органов  местного самоуправления</t>
  </si>
  <si>
    <t xml:space="preserve">Председатель контрольно-счетной комиссии </t>
  </si>
  <si>
    <t>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</si>
  <si>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Субвенции на создание и обеспечение деятельности комиссий по делам несовершеннолетних и защите их прав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</si>
  <si>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</si>
  <si>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</si>
  <si>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Оценка недвижимости, признание прав и регулирование отношений муниципальной собственности</t>
  </si>
  <si>
    <t>Функционирование высшего должностного лица субъекта российской федерации и органа местного самоуправления</t>
  </si>
  <si>
    <t>0102</t>
  </si>
  <si>
    <t xml:space="preserve">Функционирование Правительства Российской Федерации, высших исполнительных органов государственной власти, местных администраций </t>
  </si>
  <si>
    <t>Мобилизационная и вневойсковая подготовка</t>
  </si>
  <si>
    <t xml:space="preserve"> Субсидии юридическим лицам (кроме некомерческих организаций), индивидуальным предпринимателям, физическим лицам</t>
  </si>
  <si>
    <t>Проведение мероприятий для детей и молодежи</t>
  </si>
  <si>
    <t>Пенсии за выслугу лет муниципальным служащим</t>
  </si>
  <si>
    <t>Другие вопросы в области социальной политики</t>
  </si>
  <si>
    <t>1006</t>
  </si>
  <si>
    <t>630</t>
  </si>
  <si>
    <t>Реализация физкультурных и спортивно-массовых мероприятий; участие спортсменов в краевых, межрегиональных и международных физкультурных и спортивных мероприятиях, привлечение медицинского персонала, приобретение инвентаря и формы</t>
  </si>
  <si>
    <t>Обеспечение материального стимулирования организаторов физкультурно-массовой работы в поселениях</t>
  </si>
  <si>
    <t>Расходы на обеспечение деятельности (оказание услуг, выполнение работ) муниципальных учреждений</t>
  </si>
  <si>
    <t>Мероприятия по профилактике экстремизма и терроризма</t>
  </si>
  <si>
    <t>Обслуживание муниципального долга</t>
  </si>
  <si>
    <t>730</t>
  </si>
  <si>
    <t>Расходы по оплате договоров на выполнение работ, оказание услуг, связанных с капитальным ремонтом нефинансовых активов, полученных в аренду или безвозмездное пользование, закрепленных за муниципальными учреждениями на праве оперативного управления</t>
  </si>
  <si>
    <t>Расходы на приобретение муниципальными учреждениями недвижимого и особо ценного движимого имущества</t>
  </si>
  <si>
    <t>Иные закупки товаров, работ и услуг для обеспечения государственных (муниципальных) нужд</t>
  </si>
  <si>
    <t>240</t>
  </si>
  <si>
    <t>Расходы на выплаты персоналу государственных (муниципальных) органов</t>
  </si>
  <si>
    <t>120</t>
  </si>
  <si>
    <t>Уплата налогов, сборови иных платежей</t>
  </si>
  <si>
    <t xml:space="preserve">Исполнение судебных актов </t>
  </si>
  <si>
    <t>830</t>
  </si>
  <si>
    <t xml:space="preserve">Бюджетные инвестиции </t>
  </si>
  <si>
    <t>410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</si>
  <si>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</si>
  <si>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</si>
  <si>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</si>
  <si>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</si>
  <si>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 xml:space="preserve">Субсидии бюджетным учреждениям </t>
  </si>
  <si>
    <t>610</t>
  </si>
  <si>
    <t>Расходы на выплаты персоналу казенных учреждений</t>
  </si>
  <si>
    <t>110</t>
  </si>
  <si>
    <t>850</t>
  </si>
  <si>
    <t>Жилищно- коммунальное хозяйство</t>
  </si>
  <si>
    <t>0500</t>
  </si>
  <si>
    <t>Жилищное хозяйство</t>
  </si>
  <si>
    <t>0501</t>
  </si>
  <si>
    <t>Другие вопросы в области культуры, кинематографии</t>
  </si>
  <si>
    <t>Коммунальное хозяйство</t>
  </si>
  <si>
    <t>0502</t>
  </si>
  <si>
    <t>Исполнения обязательств по уплате взносов за капитальный ремонт общего имущества в многоквартирных домах</t>
  </si>
  <si>
    <t>Расходы на обеспечение деятельности (оказание услуг, выполнение работ) муниципальных учреждений (Спортивный комплекс "Луч")</t>
  </si>
  <si>
    <t xml:space="preserve">Субсидии автономным учреждениям </t>
  </si>
  <si>
    <t>620</t>
  </si>
  <si>
    <t>00 0 00 00000</t>
  </si>
  <si>
    <t>99 0 00 00000</t>
  </si>
  <si>
    <t>18 0 00 00000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</si>
  <si>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</si>
  <si>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07 0 00 00000</t>
  </si>
  <si>
    <t>Подпрограмма "Снижение рисков и смягчение последствий чрезвычайных ситуаций природного и техногенного характера в Приморском крае"</t>
  </si>
  <si>
    <t>07 1 00 00000</t>
  </si>
  <si>
    <t>11 0 00 00000</t>
  </si>
  <si>
    <t>11 1 00 00000</t>
  </si>
  <si>
    <t>11 2 00 00000</t>
  </si>
  <si>
    <t>18 1 00 00000</t>
  </si>
  <si>
    <t>18 1 03 20170</t>
  </si>
  <si>
    <t>99 9 99 93040</t>
  </si>
  <si>
    <t>12 0 00 00000</t>
  </si>
  <si>
    <t>12 1 00 00000</t>
  </si>
  <si>
    <t>12 2 00 00000</t>
  </si>
  <si>
    <t>12 2 03 20190</t>
  </si>
  <si>
    <t>12 2 03 20200</t>
  </si>
  <si>
    <t>13 0 00 00000</t>
  </si>
  <si>
    <t>13 1 00 00000</t>
  </si>
  <si>
    <t>17 0 00 00000</t>
  </si>
  <si>
    <t>06 0 00 00000</t>
  </si>
  <si>
    <t>Другие вопросы в области жилищно-коммунального хозяйства</t>
  </si>
  <si>
    <t>Субвенции на регистрацию и учет граждан, имеющих право на получение жилищных субсидий в связис переселением из районов Крайнего Севера и приравненных к ним местностей</t>
  </si>
  <si>
    <t>0505</t>
  </si>
  <si>
    <t>Сельское хозяйство и рыболовство</t>
  </si>
  <si>
    <t>0405</t>
  </si>
  <si>
    <t>05 3 00 00000</t>
  </si>
  <si>
    <t>02 6 00 00000</t>
  </si>
  <si>
    <t>06 6 00 00000</t>
  </si>
  <si>
    <t>99 9 99 59300</t>
  </si>
  <si>
    <t>Благоустройство</t>
  </si>
  <si>
    <t>0503</t>
  </si>
  <si>
    <t>Национальная безопасность и правоохранительная деятельность</t>
  </si>
  <si>
    <t>0300</t>
  </si>
  <si>
    <t xml:space="preserve">00 0 00 00000 </t>
  </si>
  <si>
    <t>12 2 03 00000</t>
  </si>
  <si>
    <t>Исполнение судебных актов</t>
  </si>
  <si>
    <t>06 6 01 S2320</t>
  </si>
  <si>
    <t>06 3 01 L4970</t>
  </si>
  <si>
    <t>Премии и гранты</t>
  </si>
  <si>
    <t>350</t>
  </si>
  <si>
    <t xml:space="preserve">Софинансирование из местного бюджета мероприятий по обеспечению развития и укреплению материально-технической базы домов культуры в населенных пунктах с числом жителей до 50 тысяч человек </t>
  </si>
  <si>
    <t xml:space="preserve">05 3 01 L4670 </t>
  </si>
  <si>
    <t>Субсидии организациям на возмещение расходов в области ЖКХ</t>
  </si>
  <si>
    <t>06 6 02 60030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</si>
  <si>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</si>
  <si>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Социтальные выплаты гражданам, кроме публичных нормативных социальных выплат</t>
  </si>
  <si>
    <t>99 9 99 93130</t>
  </si>
  <si>
    <t>02 6 Е1 00000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</si>
  <si>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</si>
  <si>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Массовый спорт</t>
  </si>
  <si>
    <t>1102</t>
  </si>
  <si>
    <t>Основное мероприятие "Выполнение обязательств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</si>
  <si>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</si>
  <si>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06 5 00 00000</t>
  </si>
  <si>
    <t>06 5 01 00000</t>
  </si>
  <si>
    <t>Основное мероприятие "Обеспечение граждан твердым топливом (дровами)"</t>
  </si>
  <si>
    <t>Субсидии бюджетам муниципальных образований Приморского края на обеспечение граждан твердым топливом (дровами)</t>
  </si>
  <si>
    <t>12 2 R1 00000</t>
  </si>
  <si>
    <t>Материальная поддержка студентов</t>
  </si>
  <si>
    <t>Софинансирование из местного бюджета субсидии бюджетам муниципальных образований Приморского края на обеспечение граждан твердым топливом (дровами)</t>
  </si>
  <si>
    <t>Софинансирование из местного бюджета 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</si>
  <si>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05 3 01 S2540</t>
  </si>
  <si>
    <t>99 9 99 10010</t>
  </si>
  <si>
    <t>99 9 99 10020</t>
  </si>
  <si>
    <t>99 9 99 10030</t>
  </si>
  <si>
    <t>99 9 99 10050</t>
  </si>
  <si>
    <t>99 9 99 10060</t>
  </si>
  <si>
    <t>99 9 99 10070</t>
  </si>
  <si>
    <t>99 9 99 20240</t>
  </si>
  <si>
    <t>99 9 99 70590</t>
  </si>
  <si>
    <t>99 9 99 20220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</si>
  <si>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</si>
  <si>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02 2 01 70590</t>
  </si>
  <si>
    <t>02 2 01 70600</t>
  </si>
  <si>
    <t>02 2 01 93060</t>
  </si>
  <si>
    <t>02 1 01 70590</t>
  </si>
  <si>
    <t>02 1 01 70600</t>
  </si>
  <si>
    <t>02 1 01 93070</t>
  </si>
  <si>
    <t>Основное мероприятие "Реализация образовательных программ дошкольного образования"</t>
  </si>
  <si>
    <t>02 1 01 00000</t>
  </si>
  <si>
    <t>06 6 03 00000</t>
  </si>
  <si>
    <t>06 6 03 S2620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</si>
  <si>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</si>
  <si>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0703</t>
  </si>
  <si>
    <t>13 1 01 00000</t>
  </si>
  <si>
    <t>02 2 01 53030</t>
  </si>
  <si>
    <t>13 1 01 S2280</t>
  </si>
  <si>
    <t>20 0 00 00000</t>
  </si>
  <si>
    <t>99 9 99 93180</t>
  </si>
  <si>
    <t>06 5 01 R0820</t>
  </si>
  <si>
    <t>02 6 Е1 93140</t>
  </si>
  <si>
    <t>Субсидии бюджетам муниципальных образований Приморского края на организацию физкультурно-спортивной работы по месту жительства</t>
  </si>
  <si>
    <t>02 3 01 70590</t>
  </si>
  <si>
    <t xml:space="preserve"> Субсидии некомерческим организациям (за исключением государственных (муниципальных) учреждений, государственных корпораций (компаний), публично - правовых компаний</t>
  </si>
  <si>
    <t>(руб.)</t>
  </si>
  <si>
    <t>Реализация мероприятий по модернизации школьных систем образования</t>
  </si>
  <si>
    <t>Софинансирование из местного бюджета на реализацию мероприятий по модернизации школьных систем образования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</si>
  <si>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</si>
  <si>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Софинансирование из местного бюджета  по субсидиям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</si>
  <si>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</si>
  <si>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05 3 01 L5190</t>
  </si>
  <si>
    <t>Субсидии бюджетам муниципальных образований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</si>
  <si>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06 6 01 S2100</t>
  </si>
  <si>
    <t>Софинансирование из местного бюджета 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</si>
  <si>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Субсидии из краевого бюджета бюджетам муниципальных образований Приморского края реализацию мероприятий по обеспечению жильем молодых семей</t>
  </si>
  <si>
    <t>Софинансирование из местного бюджета на реализацию мероприятий по обеспечению жильем молодых семей</t>
  </si>
  <si>
    <t>Софинансирование из местного бюджета на организацию физкультурно-спортивной работы по месту жительства</t>
  </si>
  <si>
    <t>Субсидии бюджетам муниципальных образований Приморского края на организацию транспортного обслуживания населения в границах муниципальных образований Приморского края</t>
  </si>
  <si>
    <t>12 1 01 S2410</t>
  </si>
  <si>
    <t>Софинансирование из местного бюджета  на организацию транспортного обслуживания населения в границах муниципальных образований Приморского края</t>
  </si>
  <si>
    <t>Субсидии бюджетам муниципальных образований на мероприятия по озданию и развитию системы газоснабжения муниципальных образований</t>
  </si>
  <si>
    <t>Софинансирование из местного бюджета на мероприятия по озданию и развитию системы газоснабжения муниципальных образований</t>
  </si>
  <si>
    <t>Субсидии бюджетам муниципальных образований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</si>
  <si>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Софинансирование из местного бюджета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</si>
  <si>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Проведение мероприятий по восстановлению воинских захоронений</t>
  </si>
  <si>
    <t>Субсидии из краевого бюджета бюджетам муниципальных образований Приморского края на на реализацию федеральной целевой программы "Увековечение памяти погибших при защите Отечества на 2019 - 2024 годы"</t>
  </si>
  <si>
    <t>19 1 01 L2990</t>
  </si>
  <si>
    <t>19 1 01 00000</t>
  </si>
  <si>
    <t>Субсидии бюджетам муниципальных образований на мероприятия по поддержке муниципальных программ по благоустройству территорий муниципальных образований</t>
  </si>
  <si>
    <t>Софинансирование из местного бюджета на мероприятия по поддержке муниципальных программ по благоустройству территорий муниципальных образований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</si>
  <si>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</si>
  <si>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</si>
  <si>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обеспечения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</si>
  <si>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образований Приморского края на обеспечение бесплатным питанием детей, обучающихся в муниципальных образовательных организациях Приморского края</t>
  </si>
  <si>
    <t>Субвенции бюджетам муниципальных образований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</si>
  <si>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</si>
  <si>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99 9 99 00000</t>
  </si>
  <si>
    <t>99 9 99 93100</t>
  </si>
  <si>
    <t>99 9 99 51180</t>
  </si>
  <si>
    <t>99 9 00 00000</t>
  </si>
  <si>
    <t>Субвенции                                                                                                        бюджетам муниципальных образований Приморского края на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</si>
  <si>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на реализацию государственногых полномочий в сфере транспортного обслуживания по муниципальным маршрутам в границах муниципальных образований</t>
  </si>
  <si>
    <t>Региональный проект "Региональная и местная дорожная сеть"</t>
  </si>
  <si>
    <t>Региональный проект "Современная школа"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</si>
  <si>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</si>
  <si>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</si>
  <si>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Компенсационные выплаты за найм жилого помещения</t>
  </si>
  <si>
    <t xml:space="preserve"> Софинансирование из местного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</si>
  <si>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 1 02 S2020</t>
  </si>
  <si>
    <t>02 3 01 00000</t>
  </si>
  <si>
    <t>Расходы на обеспечение деятельности (оказание услуг, выполнение работ) муниципальных учреждений (ДЮСШ)</t>
  </si>
  <si>
    <t>Другие вопросы в области национальной экономики</t>
  </si>
  <si>
    <t>0412</t>
  </si>
  <si>
    <t>17 2 00 00000</t>
  </si>
  <si>
    <t>Основное мероприятие "Пропаганда и популяризация предпринимательской деятельности"</t>
  </si>
  <si>
    <t>17 2 03 00000</t>
  </si>
  <si>
    <t>Пропаганда и популяризация предпринимательской деятельности</t>
  </si>
  <si>
    <t>12 1 01 60010</t>
  </si>
  <si>
    <t>Субсидии юридическим лицам на возмещение недополученных доходов, возникающих в связи с регулированием органами исполнительной власти Приморского края тарифов на перевозки поссажиров и багажа автомобильным транспортом</t>
  </si>
  <si>
    <t>12 1 01 00000</t>
  </si>
  <si>
    <t>Перевоз невостребованных трупов в морг и к месту захоронения</t>
  </si>
  <si>
    <t>Содержанае общественнйх кладбищ Шкотовского муниципального округа</t>
  </si>
  <si>
    <t>99 9 99 20430</t>
  </si>
  <si>
    <t>99 9 99 20440</t>
  </si>
  <si>
    <t>Благоустройство Шкотовского муниципального округа</t>
  </si>
  <si>
    <t>Подпрограмма "Развитие системы дошкольного образования"</t>
  </si>
  <si>
    <t>Основное мероприятие "Развитие инфраструктуры организаций дошкольного образования"</t>
  </si>
  <si>
    <t>02 1 02 00000</t>
  </si>
  <si>
    <t>02 2 01 00000</t>
  </si>
  <si>
    <t>02 2 02 00000</t>
  </si>
  <si>
    <t>Основное мероприятие "Создание условий для получения качественного общего образования"</t>
  </si>
  <si>
    <t>Основное мероприятие "Реализация образовательных программ общего образования"</t>
  </si>
  <si>
    <t>02 2 02 93150</t>
  </si>
  <si>
    <t>02 2 02 R3040</t>
  </si>
  <si>
    <t>02 2 02 70620</t>
  </si>
  <si>
    <t>Субсидии бюджетным учреждениям на питание обучающихся, мобилизованных граждан</t>
  </si>
  <si>
    <t>Основное мероприятие "Развитие материально – технической базы общеобразовательных учреждений Шкотовского муниципального округа (капитальные ремонты, благоустройство территорий, оформление рекреационных пространств)"</t>
  </si>
  <si>
    <t>02 2 03 00000</t>
  </si>
  <si>
    <t>02 2 03 L7500</t>
  </si>
  <si>
    <t>Основное мероприятие региональный проект "Патриотическое воспитание граждан Российской Федерации</t>
  </si>
  <si>
    <t>Основное мероприятие "Реализация образовательных программ дополнительного образования"</t>
  </si>
  <si>
    <t>02 3 02 00000</t>
  </si>
  <si>
    <t>Основное мероприятие "Развитие системы отдыха, оздоровления и занятости детей и подростков на территории Шкотовского муниципального округа"</t>
  </si>
  <si>
    <t>02 3 02 20060</t>
  </si>
  <si>
    <t>Развитие системы отдыха, оздоровления и занятости детей и подростков на территории Шкотовского муниципального округа</t>
  </si>
  <si>
    <t>Подпрограмма "Совершенствование управления системой образования"</t>
  </si>
  <si>
    <t>02 5 01 00000</t>
  </si>
  <si>
    <t>Дополнительное образование детей</t>
  </si>
  <si>
    <t>Молодежная политика</t>
  </si>
  <si>
    <t>02 5 02 00000</t>
  </si>
  <si>
    <t>Основное мероприятие "Развитие кадрового потенциала в образовательных организациях Шкотовского муниципального округа"</t>
  </si>
  <si>
    <t>Муниципальная программа "Социальная поддержка населения Шкотовского муниципального округа на 2023-2027 годы"</t>
  </si>
  <si>
    <t>03 2 00 00000</t>
  </si>
  <si>
    <t>03 2 01 00000</t>
  </si>
  <si>
    <t>Основное мероприятие "Меры социальной поддержки семей, имеющих детей"</t>
  </si>
  <si>
    <t>02 5 02 20330</t>
  </si>
  <si>
    <t>Муниципальная программа "Развитие культуры Шкотовского муниципального округа Приморского края на 2021-2027 годы"</t>
  </si>
  <si>
    <t>Подпрограмма "Организация досуга и обеспечение населения Шкотовского округа услугами организации культуры" (клубная система)</t>
  </si>
  <si>
    <t>05 1 01 00000</t>
  </si>
  <si>
    <t>05 2 01 00000</t>
  </si>
  <si>
    <t>05 3 01 00000</t>
  </si>
  <si>
    <t>Подпрограмма "Поддержка учреждений культуры в Шкотовском муниципальном округе"</t>
  </si>
  <si>
    <t>Основное мероприятие "Обеспечение поддержки учреждений культуры в Шкотовском муниципальном округе"</t>
  </si>
  <si>
    <t xml:space="preserve">Подпрограмма "Осуществление руководства и управления в сфере установленных функций учреждения культуры Шкотовского округа " (финансово-методический центр) </t>
  </si>
  <si>
    <t>05 4 01 70590</t>
  </si>
  <si>
    <t>05 4 01 70610</t>
  </si>
  <si>
    <t>19 1 00 00000</t>
  </si>
  <si>
    <t>19 0 00 00000</t>
  </si>
  <si>
    <t>Основное мероприятие "Мероприятия историко-патриотической, патриотической, культурно-патриотической, спортивно-патриотической направленности"</t>
  </si>
  <si>
    <t>Муниципальная программа ""Патриотическое воспитание граждан, реализация государственной национальной политики и развитие институтов гражданского общества на территории Приморского края" на 2020-2027 годы"</t>
  </si>
  <si>
    <t>Мероприятия непрограммных направлений деятельности органов государственной власти</t>
  </si>
  <si>
    <t>Непрограммные мероприятия</t>
  </si>
  <si>
    <t>Непрограммные направления деятельности органов местного самоуправления Шкотовского муниципального округа</t>
  </si>
  <si>
    <t>Резервный фонд администрации Шкотовского муниципального окргуа</t>
  </si>
  <si>
    <t>0105</t>
  </si>
  <si>
    <t>99 9 99 51200</t>
  </si>
  <si>
    <t>99 9 99 93160</t>
  </si>
  <si>
    <t>07 1 01 20040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</si>
  <si>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Шкотовского муниципального округа"</t>
  </si>
  <si>
    <t>Муниципальная программа "Развитие транспортного комплекса Шкотовского муниципального округа на 2022-2027 годы"</t>
  </si>
  <si>
    <t xml:space="preserve">Подпрограмма  "Развитие транспортного комплекса Шкотовского муниципального округа на 2022-2027 годы" </t>
  </si>
  <si>
    <t>Основное мероприятие "Организация транспортного обслуживания населения между поселениями в границах Шкотовского муниципального округа"</t>
  </si>
  <si>
    <t>Подпрограмма "Развитие дорожной отрасли в Шкотовском муниципальном округа на 2022-2027 годы"</t>
  </si>
  <si>
    <t>Основное мероприятие "Поддержка дорожного хозяйства Шкотовского муниципального округа"</t>
  </si>
  <si>
    <t>Ремонт автомобильных дорог муниципального значения на территории Шкотовского муниципального округа</t>
  </si>
  <si>
    <t>Содержание автомобильных дорог муниципального значения на территории Шкотовского муниципального округа</t>
  </si>
  <si>
    <t>Муниципальная программа "Развитие и поддержка малого и среднего предпринимательства в Шкотовском муниципальном округе на 2021-2027 годы</t>
  </si>
  <si>
    <t>Подпрограмма "Развитие и поддержка малого и среднего предпринимательства в Шкотовском муниципальномокруге на 2021-2027 годы"</t>
  </si>
  <si>
    <t>Муниципальная программа "Формирование здорового образа жизни и профилактика заболеваний в Шкотовском муниципальном округе на 2021-2027 годы"</t>
  </si>
  <si>
    <t>Подпрограмма  "Укрепление общественного здоровья в Шкотовском муниципальном округе на 2021-2027 годы"</t>
  </si>
  <si>
    <t>Совершенствование медико-гигиенического воспитания по профилактике заболеваний</t>
  </si>
  <si>
    <t>03 4 00 00000</t>
  </si>
  <si>
    <t>Подпрограмма "Социальная поддержка отдельных граждан в Шкотовском муниципальном округе"</t>
  </si>
  <si>
    <t>03 4 01 10090</t>
  </si>
  <si>
    <t>03 4 01 00000</t>
  </si>
  <si>
    <t>Основное мероприятие "Выплата пенсий и доплат к пенсии"</t>
  </si>
  <si>
    <t>Основное мероприятие "Меры социальной поддержки детей-сирот и детей, оставшихся без попечения родителей"</t>
  </si>
  <si>
    <t>03 2 02 00000</t>
  </si>
  <si>
    <t>03 2 02 93090</t>
  </si>
  <si>
    <t>Муниципальная программа "Обеспечение доступным жильем и качественными услугами жилищно-коммунального хозяйства населения Шкотовского округа на 2020-2027 годы"</t>
  </si>
  <si>
    <t>Подпрограмма "Обеспечение жильём молодых семей Шкотовского муниципального округа"</t>
  </si>
  <si>
    <t>06 3 01 00000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</si>
  <si>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</si>
  <si>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03 3 00 00000</t>
  </si>
  <si>
    <t>Основное мероприятие "Мероприятия по адаптации приоритетных объектов социальной, транспортной, инженерной структуры для обеспечения доступности получения услуг инвалидами и другими маломобильными группами населения"</t>
  </si>
  <si>
    <t xml:space="preserve">Муниципальная программа "Обеспечение доступным жильём и качественными услугами жилищно-коммунального хозяйства населения сельских поселений Шкотовского муниципального округа на 2020-2027 годы" </t>
  </si>
  <si>
    <t>Муниципальная программа "Развитие физической культуры и спорта в Шкотовском муниципальном округе  на 2020-2027 годы"</t>
  </si>
  <si>
    <t>Подпрограмма "Развитие массовой физической культуры и спорта в Шкотовском муниципальном округе"</t>
  </si>
  <si>
    <t>09 1 01 S2190</t>
  </si>
  <si>
    <t>09 1 01 20130</t>
  </si>
  <si>
    <t>09 1 01 20120</t>
  </si>
  <si>
    <t>09 1 01 00000</t>
  </si>
  <si>
    <t>09 1 01 70590</t>
  </si>
  <si>
    <t>Муниципальная программа Шкотовского муниципального округа "Информационное общество" на 2020-2027 годы</t>
  </si>
  <si>
    <t>Подпрограмма "Информационная среда"</t>
  </si>
  <si>
    <t>11 2 01 00000</t>
  </si>
  <si>
    <t>Основное мероприятие "Информирование населения  Шкотовского муниципального округа</t>
  </si>
  <si>
    <t>Расходы на обеспечение деятельности (оказание услуг, выполнение работ) муниципальных учреждений (МБУ Редакция СМИ)</t>
  </si>
  <si>
    <t>11 2 01 70590</t>
  </si>
  <si>
    <t>1301</t>
  </si>
  <si>
    <t>99 9 99 10080</t>
  </si>
  <si>
    <t>0310</t>
  </si>
  <si>
    <t>Организация выполнения и осуществления мер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</si>
  <si>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</si>
  <si>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"Развитие цифровой экономики в Шкотовском муниципальном округе"</t>
  </si>
  <si>
    <t>Основное мероприятие "Реализация мероприятий по информационной безопасности"</t>
  </si>
  <si>
    <t>11 1 01 00000</t>
  </si>
  <si>
    <t>Реализация мероприятий по информационной безопасности</t>
  </si>
  <si>
    <t>11 1 01 20180</t>
  </si>
  <si>
    <t>Размещение социальной рекламы на объектах наружной рекламы, расположенных на территории Шкотовского муниципального округа</t>
  </si>
  <si>
    <t>11 2 01 20150</t>
  </si>
  <si>
    <t>11 2 01 20070</t>
  </si>
  <si>
    <t>Информирование населения о реализации муниципальных программ Шкотовского муниципального округа, социально значимых проектов и мероприятий на официальном сайте администрации Шкотовского муниципального округа</t>
  </si>
  <si>
    <t>Муниципальная программа Шкотовского муниципального округа "Безопасный город" на 2024-2027 годы</t>
  </si>
  <si>
    <t>Подпрограмма "Комплексные меры профилактики правонарушений, экстремизма и терроризма, незаконного потребления наркотических средств и психотропных веществ в Шкотовском муниципальном округе"</t>
  </si>
  <si>
    <t>Основное мероприятие "Профилактиа незаконного потребления наркотических средств и психотропных веществ в Шкотовском муниципальном округе</t>
  </si>
  <si>
    <t>18 1 01 20160</t>
  </si>
  <si>
    <t>18 1 01 00000</t>
  </si>
  <si>
    <t>Проведение мероприятий по профилактике и  незаконного потребления наркотических средств и психотропных веществ в Шкотовском муниципальном округе</t>
  </si>
  <si>
    <t>18 1 02 00000</t>
  </si>
  <si>
    <t xml:space="preserve">Основное мероприятие "Формирование нетерпимого отношения к проявлениям терроризма и экстремизма,   повышение уровня антитеррористической защищенности объектов </t>
  </si>
  <si>
    <t>02 5 02 20340</t>
  </si>
  <si>
    <t xml:space="preserve">Материальная поддержка педагогов, выпускники которых получили от 80-100 баллов по результатам сдачи ЕГЭ </t>
  </si>
  <si>
    <t>99 9 99 93120</t>
  </si>
  <si>
    <t>02 3 03 20050</t>
  </si>
  <si>
    <t>02 3 03 00000</t>
  </si>
  <si>
    <t>Подпрограмма "Создание условий для обеспечения качественными услугами жилищно-коммунального хозяйства Шкотовского муниципального округа"</t>
  </si>
  <si>
    <t>Основное мероприятие "Поддержка организаций коммунального хозяйства"</t>
  </si>
  <si>
    <t>06 6 02 00000</t>
  </si>
  <si>
    <t>06 6 02 60050</t>
  </si>
  <si>
    <t>06 6 02 60040</t>
  </si>
  <si>
    <t>Субсидии на возмещение затрат на оплату жилищных услуг и услуг отопления жилых помещений семей военослужащих в зоне СВО</t>
  </si>
  <si>
    <t>Подпрограмма "Подпрограмма "Обеспечение деятельности органов исполнительной власти""</t>
  </si>
  <si>
    <t>06 9 00 00000</t>
  </si>
  <si>
    <t>06 9 01 00000</t>
  </si>
  <si>
    <t>06 9 01 20320</t>
  </si>
  <si>
    <t>Основное мероприятие "Капитальный ремонт многоквартирных домов Шкотовского муниципального округа"</t>
  </si>
  <si>
    <t>Бюджетные инвестиции в объекты капитального строительства государственной (муниципальной) собственности</t>
  </si>
  <si>
    <t>Основное мероприятие "Поддержка муниципальных программ в сфере водоснабжения, водоотведения и водоочистки"</t>
  </si>
  <si>
    <t>06 6 01 00000</t>
  </si>
  <si>
    <t>Капитальный ремонт объектов централизованного водоотведения с. Анисимовка</t>
  </si>
  <si>
    <t>06 6 01 20350</t>
  </si>
  <si>
    <t>Софинансирование из местного бюджета мероприятий по проектированию и (или) строительству, реконструкции, модернизации и капитальному ремонту объектов водопроводно-канализационного хозяйства (Строительство уличного водовода с колонками в п. Подъяпольское)</t>
  </si>
  <si>
    <t>06 6 02 60060</t>
  </si>
  <si>
    <t>06 6 04 00000</t>
  </si>
  <si>
    <t>Основное мероприятие "Обустройство и содержание контейнерных площадок временного размещения ТКО на территории сельских поселений"</t>
  </si>
  <si>
    <t>Меропрятия по обустройству и содержанию контейнерных площадок временного размещения ТКО</t>
  </si>
  <si>
    <t>06 6 04 20420</t>
  </si>
  <si>
    <t>Содержание и обслуживание казны Шкотовского муниципального округа</t>
  </si>
  <si>
    <t>Содержанае и обслуживание казны Шкотовского муниципального округа</t>
  </si>
  <si>
    <t>99 9 99 20260</t>
  </si>
  <si>
    <t>20 1 00 00000</t>
  </si>
  <si>
    <t>20 1 02 00000</t>
  </si>
  <si>
    <t>20 1 02 S2610</t>
  </si>
  <si>
    <t>Муниципальная программа "Энергоэффективность, развитие газоснабжения и энергетики в Шкотовском муниципальном округе на 2020-2027 годы"</t>
  </si>
  <si>
    <t>Подпрограмма "Создание и развитие системы газоснабжения Шкотовского муниципального округа на 2020-2027 годы"</t>
  </si>
  <si>
    <t>Подпрограмма "Развитие сферы ритуальных услуг на территории Шкотовского муниципального округа"</t>
  </si>
  <si>
    <t>Основное мероприятие "Развитие сферы ритуальных услуг на территории Шкотовского муниципального округа"</t>
  </si>
  <si>
    <t>13 2 00 00000</t>
  </si>
  <si>
    <t>13 2 01 00000</t>
  </si>
  <si>
    <t>Софинансирование из местного бюджета на проектирование, строительство, капитальный ремонт и ремонт подъездных автомобильных дорог, проездов к земельным участкам, предоставленным (предоставляемым) на бесплатной основе гражданам, имеющим трех и более детей, и гражданам, имеющим двух детей, а также молодым семьям</t>
  </si>
  <si>
    <t>12 2 03 S2380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</si>
  <si>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</t>
  </si>
  <si>
    <t>02 2 07 00000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</si>
  <si>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общеобразовательных организаций)</t>
  </si>
  <si>
    <t>02 2 07 L5764</t>
  </si>
  <si>
    <t>02 6 EВ 00000</t>
  </si>
  <si>
    <t>02 6 EВ 51790</t>
  </si>
  <si>
    <t>02 1 03 00000</t>
  </si>
  <si>
    <t>02 1 03 L5764</t>
  </si>
  <si>
    <t>13 2 01 S2170</t>
  </si>
  <si>
    <t>Глава Шкотовского муниципального округа</t>
  </si>
  <si>
    <t>Субвенции на осуществление полномочий Российской Федерации по государственной регистрации актов гражданского состояния за счет средств краевого бюджета</t>
  </si>
  <si>
    <t>Основное мероприятие "Газоснабжение и газификация Шкотовского муниципального округа"</t>
  </si>
  <si>
    <t>Основное мероприятие "Обеспечение жильём молодых семей Шкотовского муниципального округа"</t>
  </si>
  <si>
    <t xml:space="preserve">Подпрограмма "Организация обслуживания населения Шкотовского округа, комплектование и обеспечение сохранности библиотечных фондов библиотек поселений Шкотовского округа" (централизованная библиотечная система) </t>
  </si>
  <si>
    <t>Основное мероприятие "Обеспечение деятельности Муниципального казенного учреждения "Управление образованием"  Шкотовского муниципального округа"</t>
  </si>
  <si>
    <t>Развитие кадрового потенциала в образовательных организациях Шкотовского муниципального округа</t>
  </si>
  <si>
    <t>Председатель Думы Шкотовского округа</t>
  </si>
  <si>
    <t>Депутаты Думы Шкотовского округа</t>
  </si>
  <si>
    <t>Представительские и иные прочие расходы в органах местного самоуправления Шкотовского муниципального округа</t>
  </si>
  <si>
    <t>03 3 01 20090</t>
  </si>
  <si>
    <t>03 2 01 93050</t>
  </si>
  <si>
    <t>03 3 01 00000</t>
  </si>
  <si>
    <t xml:space="preserve">Обеспечение беспрепятственного доступа инвалидов к объектам социальной инфраструктуры и информации </t>
  </si>
  <si>
    <t>Приспособление жилых помещений, в которых проживают инвалиды, и общего имущества многоквартирных домов к беспрепятственному доступу инвалидов</t>
  </si>
  <si>
    <t>03 3 01 20080</t>
  </si>
  <si>
    <t>05 4 01 00000</t>
  </si>
  <si>
    <t>Основное мероприятие "Обеспечение деятельности Муниципального казенного учреждения "Культурно-информационный методический центр"  Шкотовского муниципального округа"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</si>
  <si>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</si>
  <si>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19 1 01 20270</t>
  </si>
  <si>
    <t>Софинансирование из местного бюджета края на на реализацию федеральной целевой программы "Увековечение памяти погибших при защите Отечества на 2019 - 2024 годы"</t>
  </si>
  <si>
    <t>Основное мероприятие "Облицовка фасада МБДОУ № 47 "Рябинушка пос. Штыково по адресу ул. Гидроузла 6"  проекта "Комплексное развитие поселка Штыково Шкотовского муниципального округа Приморского края "</t>
  </si>
  <si>
    <t>Реализация национального проекта "Образование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</si>
  <si>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</si>
  <si>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Муниципальная программа "Формирование современной городской среды Шкотовского муниципального округа" на 2024-2027 гг</t>
  </si>
  <si>
    <t>"Формирование современной городской среды Шкотовского муниципального округа" на 2024-2027 гг.</t>
  </si>
  <si>
    <t>Основное мероприятие " Мероприятия по благоустройству территорий, детских и спортивных площадок" Шкотовского муниципального округа"</t>
  </si>
  <si>
    <t>Муниципальная программа "Развитие образования Шкотовского муниципального округа" на 2024 – 2027 годы</t>
  </si>
  <si>
    <t>Подпрограмма "Развитие системы воспитания, дополнительного образования, отдыха, оздоровления и занятости детей и подростков Шкотовского муниципального округа"</t>
  </si>
  <si>
    <t>Основное мероприятие "Реализация мероприятий, направленных на привлечение детей и молодежи к участию в районных и краевых массовых  мероприятиях и повышение качества жизни детей"</t>
  </si>
  <si>
    <t xml:space="preserve">Подпрограмма "Патриотическое воспитание жителей Шкотовского муниципального округа Приморского края" 
</t>
  </si>
  <si>
    <t>Подпрограмма "Реализация образовательных программ общего образования"</t>
  </si>
  <si>
    <t>Основное мероприятие "Капитальный ремонт спортивной площадки МБУ СОШ № 15 в пос. Штыково"  проекта "Комплексное развитие поселка Штыково   Шкотовского муниципального округа Приморского края"</t>
  </si>
  <si>
    <t>Подпрограмма "Развитие дополнительного образования детей и реализация мероприятий молодёжной политики"</t>
  </si>
  <si>
    <t>02 5 02 80010</t>
  </si>
  <si>
    <t>07 1 01 20360</t>
  </si>
  <si>
    <t>99 9 99 10100</t>
  </si>
  <si>
    <t>17 2 03 20370</t>
  </si>
  <si>
    <t>Субсидии на возмещение затрат на оплату услуг по обеспечению твердым топливом семей военнослужащих в зоне СВО</t>
  </si>
  <si>
    <t>Компенсационные выплаты на возмещение затрат многодетных семей на обеспечение земельных участков инженерной инфроструктурой ВКХ</t>
  </si>
  <si>
    <t>0406</t>
  </si>
  <si>
    <t>07 1 01 20380</t>
  </si>
  <si>
    <t>Водное хозяйство</t>
  </si>
  <si>
    <t>Мероприятия по локализации и ликвидации различных очагов повышенной опасности на участках водных объектов в связи с нарушением пропускной способности русел рек</t>
  </si>
  <si>
    <t>03 3 02 00000</t>
  </si>
  <si>
    <t>Основное мероприятие "Организация культурных и спортивных мероприятий, с участием людей с ограниченными возможностями"</t>
  </si>
  <si>
    <t>03 3 02 20020</t>
  </si>
  <si>
    <t>Организация культурных и спортивных мероприятий, с участием людей с ограниченными возможностями</t>
  </si>
  <si>
    <t>99 9 99 93010</t>
  </si>
  <si>
    <t>99 9 99 93030</t>
  </si>
  <si>
    <t>Субсидии бюджетам на подготовку проектов межевания земельных участков и на проведение кадастровых работ</t>
  </si>
  <si>
    <t>20 1 05 00000</t>
  </si>
  <si>
    <t>Основное мероприятие "Реализация проектов инициативного бюджетирования по направлению "Твой проект""</t>
  </si>
  <si>
    <t>Реализация проектов инициативного бюджетирования по направлению "Твой проект" ("Благоустройство территории Центропарка" с. Центральное)</t>
  </si>
  <si>
    <t>20 1 05 S2361</t>
  </si>
  <si>
    <t>Софинансирование из местного бюджета на реализацию проектов инициативного бюджетирования по направлению "Твой проект" ("Благоустройство территории Центропарка" с. Центральное)</t>
  </si>
  <si>
    <t>20 1 05 S2362</t>
  </si>
  <si>
    <t>Реализация проектов инициативного бюджетирования по направлению "Твой проект" (Школьный двор - мир моего детства МБОУ "СОШ № 26 пос. Новонежино")</t>
  </si>
  <si>
    <t>Софинансирование из местного бюджета на реализацию проектов инициативного бюджетирования по направлению "Твой проект" (Школьный двор - мир моего детства МБОУ "СОШ № 26 пос. Новонежино")</t>
  </si>
  <si>
    <t>06 5 01 93210</t>
  </si>
  <si>
    <t>05 3 А1 00000</t>
  </si>
  <si>
    <t>05 3 A1 55130</t>
  </si>
  <si>
    <t>Региональный проект "Культурная среда"</t>
  </si>
  <si>
    <t>Субсидии из краевого бюджета на развитие сети учреждений культурно-досугового типа</t>
  </si>
  <si>
    <t>Софинансирование из местного бюджета на развитие сети учреждений культурно-досугового типа</t>
  </si>
  <si>
    <t>Реализация проектов инициативного бюджетирования по направлению "Молодежный бюджет" ("Здравствуй, школа!" МБОУ "СОШ № 15. пос. Штыково")</t>
  </si>
  <si>
    <t>02 2 03 S2751</t>
  </si>
  <si>
    <t>02 2 03 S2752</t>
  </si>
  <si>
    <t>Реализация проектов инициативного бюджетирования по направлению "Молодежный бюджет" ("Благоустройство Школьного двора МБОУ "СОШ № 25 с. Романовка")</t>
  </si>
  <si>
    <t>Софинансирование из местного бюджета на реализацию проектов инициативного бюджетирования по направлению "Молодежный бюджет" ("Благоустройство Школьного двора МБОУ "СОШ № 25 с. Романовка")</t>
  </si>
  <si>
    <t>Софинансирование из местного бюджета на реализацию проектов инициативного бюджетирования по направлению "Молодежный бюджет" ("Здравствуй, школа!" МБОУ "СОШ № 15. пос. Штыково")</t>
  </si>
  <si>
    <t>14 0 00 00000</t>
  </si>
  <si>
    <t>Муниципальная программа "Комплексные кадастровые работы на территории Шкотовского муниципального округа Приморского края на период 2024-2027 годы"</t>
  </si>
  <si>
    <t>14 1 01 L5990</t>
  </si>
  <si>
    <t>Подпрограмма "Постановка на кадастровый учет земельных участков сельскохозяйственного назначения"</t>
  </si>
  <si>
    <t>Основное мероприятие  "Подготовка проектов межевания земельных участков и на проведение кадастровых работ"</t>
  </si>
  <si>
    <t>14 1 00 00000</t>
  </si>
  <si>
    <t>14 1 01 00000</t>
  </si>
  <si>
    <t>Иные выплаты населению</t>
  </si>
  <si>
    <t>13 1 01 60010</t>
  </si>
  <si>
    <t>12 2 R1 S2440</t>
  </si>
  <si>
    <t>Финансовое обеспечение дорожной деятельности на автомобильных дорогах местного значения на территории Приморского края</t>
  </si>
  <si>
    <t>Софинансирование с местного бюджета на финансовое обеспечение дорожной деятельности на автомобильных дорогах местного значения на территории Приморского края</t>
  </si>
  <si>
    <t>Субсидии бюджетам муниципальных округов на обеспечение комплексного развития сельских территорий (Обеспечение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организаций)</t>
  </si>
  <si>
    <t>Субсидии бюджетам муниципальных округов на обеспечение комплексного развития сельских территорий (Обеспечение комплексного развития сельских территорий (строительство и реконструкция (модернизация), капитальный ремонт объектов муниципальных общеобразовательных организаций, приобретение оборудования и транспортных средств)</t>
  </si>
  <si>
    <r>
  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 </t>
    </r>
    <r>
      <rPr>
        <b/>
        <sz val="12"/>
        <rFont val="Times New Roman"/>
        <family val="1"/>
        <charset val="204"/>
      </rPr>
      <t>(финансовое обеспечение государсчтвенных полномочий по обеспечению жилыми помещениями детей сирот)</t>
    </r>
  </si>
  <si>
    <t>Первоначальный бюджет на 2024 год</t>
  </si>
  <si>
    <t>Отклонения от плана (+,-)</t>
  </si>
  <si>
    <t>% исполнения от первоначального плана</t>
  </si>
  <si>
    <t>% исполнения от плана с учетом внесенных изменений</t>
  </si>
  <si>
    <t>-</t>
  </si>
  <si>
    <t>8=6-7</t>
  </si>
  <si>
    <t>9=7/5*100</t>
  </si>
  <si>
    <t>10=7/6*100</t>
  </si>
  <si>
    <t>Назначено с учетом внесенных изменений на 01.10.2024 год</t>
  </si>
  <si>
    <t>Исполнено на 01.10.2024 год</t>
  </si>
  <si>
    <t xml:space="preserve">Отчет об исполнении расходной части бюджета Шкотовского муниципального округа на 01 октября 2024 года 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</t>
  </si>
  <si>
    <t>Судебная система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</si>
</sst>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0000"/>
    <numFmt numFmtId="166" formatCode="#,##0.0000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">
    <xf numFmtId="0" fontId="0" fillId="0" borderId="0"/>
    <xf numFmtId="0" fontId="8" fillId="0" borderId="1">
      <alignment vertical="top" wrapText="1"/>
    </xf>
    <xf numFmtId="0" fontId="1" fillId="0" borderId="0"/>
    <xf numFmtId="164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0" xfId="0" applyFont="1" applyFill="1"/>
    <xf numFmtId="2" fontId="0" fillId="0" borderId="0" xfId="0" applyNumberFormat="1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/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/>
    <xf numFmtId="4" fontId="5" fillId="0" borderId="2" xfId="3" applyNumberFormat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shrinkToFit="1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49" fontId="6" fillId="0" borderId="2" xfId="0" applyNumberFormat="1" applyFont="1" applyFill="1" applyBorder="1" applyAlignment="1">
      <alignment horizontal="center" vertical="center" shrinkToFit="1"/>
    </xf>
    <xf numFmtId="0" fontId="2" fillId="0" borderId="2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11" fontId="2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4" fillId="0" borderId="0" xfId="0" applyNumberFormat="1" applyFont="1" applyFill="1"/>
    <xf numFmtId="0" fontId="2" fillId="0" borderId="0" xfId="0" applyFont="1"/>
    <xf numFmtId="166" fontId="2" fillId="0" borderId="0" xfId="0" applyNumberFormat="1" applyFont="1"/>
    <xf numFmtId="0" fontId="5" fillId="0" borderId="0" xfId="0" applyFont="1"/>
    <xf numFmtId="49" fontId="5" fillId="0" borderId="0" xfId="0" applyNumberFormat="1" applyFont="1"/>
    <xf numFmtId="0" fontId="3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3" fillId="2" borderId="0" xfId="0" applyFont="1" applyFill="1"/>
    <xf numFmtId="4" fontId="3" fillId="2" borderId="0" xfId="0" applyNumberFormat="1" applyFont="1" applyFill="1"/>
    <xf numFmtId="0" fontId="2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5" fillId="0" borderId="7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 wrapText="1"/>
    </xf>
    <xf numFmtId="4" fontId="5" fillId="0" borderId="8" xfId="3" applyNumberFormat="1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0" fontId="1" fillId="0" borderId="0" xfId="0" applyFont="1"/>
  </cellXfs>
  <cellStyles count="4">
    <cellStyle name="xl33" xfId="1"/>
    <cellStyle name="Обычный" xfId="0" builtinId="0"/>
    <cellStyle name="Обычный_Приложение 6, 7 раздел подразде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43"/>
  <sheetViews>
    <sheetView showGridLines="0" tabSelected="1" view="pageBreakPreview" topLeftCell="B106" zoomScaleSheetLayoutView="100" workbookViewId="0">
      <selection activeCell="C111" sqref="C111"/>
    </sheetView>
  </sheetViews>
  <sheetFormatPr defaultColWidth="8.88671875" defaultRowHeight="13.2" outlineLevelRow="5" x14ac:dyDescent="0.25"/>
  <cols>
    <col min="1" max="1" width="53.44140625" style="3" customWidth="1"/>
    <col min="2" max="2" width="11.6640625" style="3" customWidth="1"/>
    <col min="3" max="3" width="15.88671875" style="3" customWidth="1"/>
    <col min="4" max="4" width="9.88671875" style="3" bestFit="1" customWidth="1"/>
    <col min="5" max="5" width="20.109375" style="3" bestFit="1" customWidth="1"/>
    <col min="6" max="6" width="19.44140625" style="4" customWidth="1"/>
    <col min="7" max="7" width="19.33203125" style="3" customWidth="1"/>
    <col min="8" max="9" width="16.6640625" style="3" customWidth="1"/>
    <col min="10" max="10" width="20.77734375" style="3" customWidth="1"/>
    <col min="11" max="16384" width="8.88671875" style="3"/>
  </cols>
  <sheetData>
    <row r="2" spans="1:12" s="57" customFormat="1" ht="63" customHeight="1" x14ac:dyDescent="0.3">
      <c r="A2" s="98" t="s">
        <v>565</v>
      </c>
      <c r="B2" s="98"/>
      <c r="C2" s="98"/>
      <c r="D2" s="98"/>
      <c r="E2" s="98"/>
      <c r="F2" s="98"/>
      <c r="G2" s="99"/>
      <c r="H2" s="98"/>
      <c r="I2" s="98"/>
      <c r="J2" s="98"/>
      <c r="L2" s="58"/>
    </row>
    <row r="3" spans="1:12" s="57" customFormat="1" ht="28.2" customHeight="1" x14ac:dyDescent="0.3">
      <c r="A3" s="59"/>
      <c r="B3" s="60"/>
      <c r="C3" s="59"/>
      <c r="D3" s="59"/>
      <c r="F3" s="61"/>
      <c r="G3" s="61"/>
      <c r="H3" s="61"/>
      <c r="I3" s="62"/>
      <c r="J3" s="63" t="s">
        <v>242</v>
      </c>
      <c r="L3" s="58"/>
    </row>
    <row r="4" spans="1:12" s="57" customFormat="1" ht="69.599999999999994" customHeight="1" x14ac:dyDescent="0.3">
      <c r="A4" s="64" t="s">
        <v>34</v>
      </c>
      <c r="B4" s="65" t="s">
        <v>61</v>
      </c>
      <c r="C4" s="64" t="s">
        <v>35</v>
      </c>
      <c r="D4" s="64" t="s">
        <v>36</v>
      </c>
      <c r="E4" s="66" t="s">
        <v>555</v>
      </c>
      <c r="F4" s="67" t="s">
        <v>563</v>
      </c>
      <c r="G4" s="64" t="s">
        <v>564</v>
      </c>
      <c r="H4" s="64" t="s">
        <v>556</v>
      </c>
      <c r="I4" s="68" t="s">
        <v>557</v>
      </c>
      <c r="J4" s="64" t="s">
        <v>558</v>
      </c>
      <c r="L4" s="58"/>
    </row>
    <row r="5" spans="1:12" s="5" customFormat="1" ht="28.2" customHeight="1" x14ac:dyDescent="0.3">
      <c r="A5" s="2">
        <v>1</v>
      </c>
      <c r="B5" s="1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 t="s">
        <v>560</v>
      </c>
      <c r="I5" s="7" t="s">
        <v>561</v>
      </c>
      <c r="J5" s="2" t="s">
        <v>562</v>
      </c>
    </row>
    <row r="6" spans="1:12" s="6" customFormat="1" ht="15.6" x14ac:dyDescent="0.25">
      <c r="A6" s="9" t="s">
        <v>27</v>
      </c>
      <c r="B6" s="9" t="s">
        <v>49</v>
      </c>
      <c r="C6" s="9" t="s">
        <v>146</v>
      </c>
      <c r="D6" s="48" t="s">
        <v>26</v>
      </c>
      <c r="E6" s="16">
        <f>E7+E14+E24+E35+E41+E50+E56</f>
        <v>286452950.99000001</v>
      </c>
      <c r="F6" s="16">
        <f t="shared" ref="F6:G6" si="0">F7+F14+F24+F35+F41+F50+F56</f>
        <v>306082463.26999998</v>
      </c>
      <c r="G6" s="16">
        <f t="shared" si="0"/>
        <v>209856114.19</v>
      </c>
      <c r="H6" s="16">
        <f t="shared" ref="H6:H69" si="1">$F6-$G6</f>
        <v>96226349.079999998</v>
      </c>
      <c r="I6" s="16">
        <f t="shared" ref="I6:I12" si="2">$G6/$E6*100</f>
        <v>73.260000000000005</v>
      </c>
      <c r="J6" s="16">
        <f t="shared" ref="J6:J37" si="3">$G6/$F6*100</f>
        <v>68.56</v>
      </c>
      <c r="L6" s="11"/>
    </row>
    <row r="7" spans="1:12" s="6" customFormat="1" ht="46.8" x14ac:dyDescent="0.25">
      <c r="A7" s="2" t="s">
        <v>99</v>
      </c>
      <c r="B7" s="12" t="s">
        <v>100</v>
      </c>
      <c r="C7" s="2" t="s">
        <v>146</v>
      </c>
      <c r="D7" s="12" t="s">
        <v>26</v>
      </c>
      <c r="E7" s="13">
        <f t="shared" ref="E7:G10" si="4">E8</f>
        <v>3025000</v>
      </c>
      <c r="F7" s="13">
        <f t="shared" si="4"/>
        <v>4313814</v>
      </c>
      <c r="G7" s="13">
        <f t="shared" si="4"/>
        <v>2812400.52</v>
      </c>
      <c r="H7" s="13">
        <f t="shared" si="1"/>
        <v>1501413.48</v>
      </c>
      <c r="I7" s="13">
        <f t="shared" si="2"/>
        <v>92.97</v>
      </c>
      <c r="J7" s="13">
        <f t="shared" si="3"/>
        <v>65.2</v>
      </c>
      <c r="L7" s="11"/>
    </row>
    <row r="8" spans="1:12" s="6" customFormat="1" ht="46.8" x14ac:dyDescent="0.25">
      <c r="A8" s="14" t="s">
        <v>350</v>
      </c>
      <c r="B8" s="12" t="s">
        <v>100</v>
      </c>
      <c r="C8" s="2" t="s">
        <v>147</v>
      </c>
      <c r="D8" s="12" t="s">
        <v>26</v>
      </c>
      <c r="E8" s="13">
        <f t="shared" si="4"/>
        <v>3025000</v>
      </c>
      <c r="F8" s="13">
        <f t="shared" si="4"/>
        <v>4313814</v>
      </c>
      <c r="G8" s="13">
        <f t="shared" si="4"/>
        <v>2812400.52</v>
      </c>
      <c r="H8" s="13">
        <f t="shared" si="1"/>
        <v>1501413.48</v>
      </c>
      <c r="I8" s="13">
        <f t="shared" si="2"/>
        <v>92.97</v>
      </c>
      <c r="J8" s="13">
        <f t="shared" si="3"/>
        <v>65.2</v>
      </c>
      <c r="L8" s="11"/>
    </row>
    <row r="9" spans="1:12" s="6" customFormat="1" ht="31.2" x14ac:dyDescent="0.25">
      <c r="A9" s="2" t="s">
        <v>348</v>
      </c>
      <c r="B9" s="12" t="s">
        <v>100</v>
      </c>
      <c r="C9" s="2" t="s">
        <v>277</v>
      </c>
      <c r="D9" s="12" t="s">
        <v>26</v>
      </c>
      <c r="E9" s="13">
        <f t="shared" si="4"/>
        <v>3025000</v>
      </c>
      <c r="F9" s="13">
        <f t="shared" si="4"/>
        <v>4313814</v>
      </c>
      <c r="G9" s="13">
        <f t="shared" si="4"/>
        <v>2812400.52</v>
      </c>
      <c r="H9" s="13">
        <f t="shared" si="1"/>
        <v>1501413.48</v>
      </c>
      <c r="I9" s="13">
        <f t="shared" si="2"/>
        <v>92.97</v>
      </c>
      <c r="J9" s="13">
        <f t="shared" si="3"/>
        <v>65.2</v>
      </c>
      <c r="L9" s="11"/>
    </row>
    <row r="10" spans="1:12" s="6" customFormat="1" ht="15.6" x14ac:dyDescent="0.25">
      <c r="A10" s="2" t="s">
        <v>349</v>
      </c>
      <c r="B10" s="12" t="s">
        <v>100</v>
      </c>
      <c r="C10" s="2" t="s">
        <v>274</v>
      </c>
      <c r="D10" s="12" t="s">
        <v>26</v>
      </c>
      <c r="E10" s="13">
        <f t="shared" si="4"/>
        <v>3025000</v>
      </c>
      <c r="F10" s="13">
        <f t="shared" si="4"/>
        <v>4313814</v>
      </c>
      <c r="G10" s="13">
        <f t="shared" si="4"/>
        <v>2812400.52</v>
      </c>
      <c r="H10" s="13">
        <f t="shared" si="1"/>
        <v>1501413.48</v>
      </c>
      <c r="I10" s="13">
        <f t="shared" si="2"/>
        <v>92.97</v>
      </c>
      <c r="J10" s="13">
        <f t="shared" si="3"/>
        <v>65.2</v>
      </c>
      <c r="L10" s="11"/>
    </row>
    <row r="11" spans="1:12" s="6" customFormat="1" ht="15.6" x14ac:dyDescent="0.25">
      <c r="A11" s="2" t="s">
        <v>469</v>
      </c>
      <c r="B11" s="12" t="s">
        <v>100</v>
      </c>
      <c r="C11" s="2" t="s">
        <v>210</v>
      </c>
      <c r="D11" s="12" t="s">
        <v>26</v>
      </c>
      <c r="E11" s="13">
        <f>E12+E13</f>
        <v>3025000</v>
      </c>
      <c r="F11" s="13">
        <f>F12+F13</f>
        <v>4313814</v>
      </c>
      <c r="G11" s="13">
        <f>G12+G13</f>
        <v>2812400.52</v>
      </c>
      <c r="H11" s="13">
        <f t="shared" si="1"/>
        <v>1501413.48</v>
      </c>
      <c r="I11" s="13">
        <f t="shared" si="2"/>
        <v>92.97</v>
      </c>
      <c r="J11" s="13">
        <f t="shared" si="3"/>
        <v>65.2</v>
      </c>
      <c r="L11" s="11"/>
    </row>
    <row r="12" spans="1:12" s="6" customFormat="1" ht="31.2" x14ac:dyDescent="0.25">
      <c r="A12" s="2" t="s">
        <v>119</v>
      </c>
      <c r="B12" s="12" t="s">
        <v>100</v>
      </c>
      <c r="C12" s="2" t="s">
        <v>210</v>
      </c>
      <c r="D12" s="2">
        <v>120</v>
      </c>
      <c r="E12" s="13">
        <v>3025000</v>
      </c>
      <c r="F12" s="13">
        <v>4215314</v>
      </c>
      <c r="G12" s="13">
        <v>2713900.52</v>
      </c>
      <c r="H12" s="13">
        <f t="shared" si="1"/>
        <v>1501413.48</v>
      </c>
      <c r="I12" s="13">
        <f t="shared" si="2"/>
        <v>89.72</v>
      </c>
      <c r="J12" s="13">
        <f t="shared" si="3"/>
        <v>64.38</v>
      </c>
      <c r="L12" s="11"/>
    </row>
    <row r="13" spans="1:12" s="17" customFormat="1" ht="31.2" x14ac:dyDescent="0.3">
      <c r="A13" s="2" t="s">
        <v>117</v>
      </c>
      <c r="B13" s="12" t="s">
        <v>100</v>
      </c>
      <c r="C13" s="2" t="s">
        <v>210</v>
      </c>
      <c r="D13" s="2">
        <v>240</v>
      </c>
      <c r="E13" s="13">
        <v>0</v>
      </c>
      <c r="F13" s="13">
        <v>98500</v>
      </c>
      <c r="G13" s="13">
        <v>98500</v>
      </c>
      <c r="H13" s="13">
        <f t="shared" si="1"/>
        <v>0</v>
      </c>
      <c r="I13" s="13" t="s">
        <v>559</v>
      </c>
      <c r="J13" s="13">
        <f t="shared" si="3"/>
        <v>100</v>
      </c>
      <c r="L13" s="11"/>
    </row>
    <row r="14" spans="1:12" s="17" customFormat="1" ht="62.4" x14ac:dyDescent="0.3">
      <c r="A14" s="2" t="s">
        <v>41</v>
      </c>
      <c r="B14" s="12" t="s">
        <v>52</v>
      </c>
      <c r="C14" s="2" t="s">
        <v>146</v>
      </c>
      <c r="D14" s="12" t="s">
        <v>26</v>
      </c>
      <c r="E14" s="13">
        <f>E15</f>
        <v>14011716.369999999</v>
      </c>
      <c r="F14" s="13">
        <f>F15</f>
        <v>14011716.369999999</v>
      </c>
      <c r="G14" s="13">
        <f>G15</f>
        <v>8316947.7000000002</v>
      </c>
      <c r="H14" s="13">
        <f t="shared" si="1"/>
        <v>5694768.6699999999</v>
      </c>
      <c r="I14" s="13">
        <f t="shared" ref="I14:I31" si="5">$G14/$E14*100</f>
        <v>59.36</v>
      </c>
      <c r="J14" s="13">
        <f t="shared" si="3"/>
        <v>59.36</v>
      </c>
      <c r="L14" s="11"/>
    </row>
    <row r="15" spans="1:12" s="17" customFormat="1" ht="46.8" x14ac:dyDescent="0.3">
      <c r="A15" s="14" t="s">
        <v>350</v>
      </c>
      <c r="B15" s="12" t="s">
        <v>52</v>
      </c>
      <c r="C15" s="2" t="s">
        <v>147</v>
      </c>
      <c r="D15" s="12" t="s">
        <v>26</v>
      </c>
      <c r="E15" s="13">
        <f>E16+E20+E22</f>
        <v>14011716.369999999</v>
      </c>
      <c r="F15" s="13">
        <f t="shared" ref="F15:G15" si="6">F16+F20+F22</f>
        <v>14011716.369999999</v>
      </c>
      <c r="G15" s="13">
        <f t="shared" si="6"/>
        <v>8316947.7000000002</v>
      </c>
      <c r="H15" s="13">
        <f t="shared" si="1"/>
        <v>5694768.6699999999</v>
      </c>
      <c r="I15" s="13">
        <f t="shared" si="5"/>
        <v>59.36</v>
      </c>
      <c r="J15" s="13">
        <f t="shared" si="3"/>
        <v>59.36</v>
      </c>
      <c r="L15" s="11"/>
    </row>
    <row r="16" spans="1:12" s="17" customFormat="1" ht="31.2" x14ac:dyDescent="0.3">
      <c r="A16" s="2" t="s">
        <v>92</v>
      </c>
      <c r="B16" s="12" t="s">
        <v>52</v>
      </c>
      <c r="C16" s="2" t="s">
        <v>211</v>
      </c>
      <c r="D16" s="12" t="s">
        <v>26</v>
      </c>
      <c r="E16" s="13">
        <f>E17+E18+E19</f>
        <v>8513563</v>
      </c>
      <c r="F16" s="13">
        <f>F17+F18+F19</f>
        <v>8780463</v>
      </c>
      <c r="G16" s="13">
        <f>G17+G18+G19</f>
        <v>4759853.4800000004</v>
      </c>
      <c r="H16" s="13">
        <f t="shared" si="1"/>
        <v>4020609.52</v>
      </c>
      <c r="I16" s="13">
        <f t="shared" si="5"/>
        <v>55.91</v>
      </c>
      <c r="J16" s="13">
        <f t="shared" si="3"/>
        <v>54.21</v>
      </c>
      <c r="L16" s="11"/>
    </row>
    <row r="17" spans="1:12" s="6" customFormat="1" ht="31.2" x14ac:dyDescent="0.25">
      <c r="A17" s="2" t="s">
        <v>119</v>
      </c>
      <c r="B17" s="12" t="s">
        <v>52</v>
      </c>
      <c r="C17" s="2" t="s">
        <v>211</v>
      </c>
      <c r="D17" s="2">
        <v>120</v>
      </c>
      <c r="E17" s="20">
        <f>6883963</f>
        <v>6883963</v>
      </c>
      <c r="F17" s="20">
        <f>6883963+205000+61900</f>
        <v>7150863</v>
      </c>
      <c r="G17" s="20">
        <v>4313947.4800000004</v>
      </c>
      <c r="H17" s="20">
        <f t="shared" si="1"/>
        <v>2836915.52</v>
      </c>
      <c r="I17" s="20">
        <f t="shared" si="5"/>
        <v>62.67</v>
      </c>
      <c r="J17" s="20">
        <f t="shared" si="3"/>
        <v>60.33</v>
      </c>
      <c r="L17" s="11"/>
    </row>
    <row r="18" spans="1:12" s="6" customFormat="1" ht="31.2" x14ac:dyDescent="0.25">
      <c r="A18" s="15" t="s">
        <v>117</v>
      </c>
      <c r="B18" s="12" t="s">
        <v>52</v>
      </c>
      <c r="C18" s="2" t="s">
        <v>211</v>
      </c>
      <c r="D18" s="2">
        <v>240</v>
      </c>
      <c r="E18" s="20">
        <v>1604600</v>
      </c>
      <c r="F18" s="20">
        <v>1604600</v>
      </c>
      <c r="G18" s="20">
        <v>443316</v>
      </c>
      <c r="H18" s="20">
        <f t="shared" si="1"/>
        <v>1161284</v>
      </c>
      <c r="I18" s="20">
        <f t="shared" si="5"/>
        <v>27.63</v>
      </c>
      <c r="J18" s="20">
        <f t="shared" si="3"/>
        <v>27.63</v>
      </c>
      <c r="L18" s="11"/>
    </row>
    <row r="19" spans="1:12" s="6" customFormat="1" ht="15.6" x14ac:dyDescent="0.25">
      <c r="A19" s="15" t="s">
        <v>121</v>
      </c>
      <c r="B19" s="12" t="s">
        <v>52</v>
      </c>
      <c r="C19" s="2" t="s">
        <v>211</v>
      </c>
      <c r="D19" s="2">
        <v>850</v>
      </c>
      <c r="E19" s="20">
        <v>25000</v>
      </c>
      <c r="F19" s="20">
        <v>25000</v>
      </c>
      <c r="G19" s="20">
        <v>2590</v>
      </c>
      <c r="H19" s="20">
        <f t="shared" si="1"/>
        <v>22410</v>
      </c>
      <c r="I19" s="20">
        <f t="shared" si="5"/>
        <v>10.36</v>
      </c>
      <c r="J19" s="20">
        <f t="shared" si="3"/>
        <v>10.36</v>
      </c>
      <c r="L19" s="11"/>
    </row>
    <row r="20" spans="1:12" s="6" customFormat="1" ht="15.6" x14ac:dyDescent="0.25">
      <c r="A20" s="2" t="s">
        <v>476</v>
      </c>
      <c r="B20" s="12" t="s">
        <v>52</v>
      </c>
      <c r="C20" s="2" t="s">
        <v>212</v>
      </c>
      <c r="D20" s="12" t="s">
        <v>26</v>
      </c>
      <c r="E20" s="13">
        <f>E21</f>
        <v>3025000</v>
      </c>
      <c r="F20" s="13">
        <f>F21</f>
        <v>3385600</v>
      </c>
      <c r="G20" s="13">
        <f>G21</f>
        <v>2305789.21</v>
      </c>
      <c r="H20" s="13">
        <f t="shared" si="1"/>
        <v>1079810.79</v>
      </c>
      <c r="I20" s="13">
        <f t="shared" si="5"/>
        <v>76.22</v>
      </c>
      <c r="J20" s="13">
        <f t="shared" si="3"/>
        <v>68.11</v>
      </c>
      <c r="L20" s="11"/>
    </row>
    <row r="21" spans="1:12" s="6" customFormat="1" ht="31.2" x14ac:dyDescent="0.25">
      <c r="A21" s="2" t="s">
        <v>119</v>
      </c>
      <c r="B21" s="12" t="s">
        <v>52</v>
      </c>
      <c r="C21" s="2" t="s">
        <v>212</v>
      </c>
      <c r="D21" s="2">
        <v>120</v>
      </c>
      <c r="E21" s="20">
        <f>3025000</f>
        <v>3025000</v>
      </c>
      <c r="F21" s="20">
        <f>3025000+277000+83600</f>
        <v>3385600</v>
      </c>
      <c r="G21" s="20">
        <v>2305789.21</v>
      </c>
      <c r="H21" s="20">
        <f t="shared" si="1"/>
        <v>1079810.79</v>
      </c>
      <c r="I21" s="20">
        <f t="shared" si="5"/>
        <v>76.22</v>
      </c>
      <c r="J21" s="20">
        <f t="shared" si="3"/>
        <v>68.11</v>
      </c>
      <c r="L21" s="11"/>
    </row>
    <row r="22" spans="1:12" s="6" customFormat="1" ht="15.6" x14ac:dyDescent="0.25">
      <c r="A22" s="2" t="s">
        <v>477</v>
      </c>
      <c r="B22" s="12" t="s">
        <v>52</v>
      </c>
      <c r="C22" s="2" t="s">
        <v>25</v>
      </c>
      <c r="D22" s="12" t="s">
        <v>26</v>
      </c>
      <c r="E22" s="13">
        <f>E23</f>
        <v>2473153.37</v>
      </c>
      <c r="F22" s="13">
        <f>F23</f>
        <v>1845653.37</v>
      </c>
      <c r="G22" s="13">
        <f>G23</f>
        <v>1251305.01</v>
      </c>
      <c r="H22" s="13">
        <f t="shared" si="1"/>
        <v>594348.36</v>
      </c>
      <c r="I22" s="13">
        <f t="shared" si="5"/>
        <v>50.6</v>
      </c>
      <c r="J22" s="13">
        <f t="shared" si="3"/>
        <v>67.8</v>
      </c>
      <c r="L22" s="11"/>
    </row>
    <row r="23" spans="1:12" s="6" customFormat="1" ht="31.2" x14ac:dyDescent="0.25">
      <c r="A23" s="2" t="s">
        <v>119</v>
      </c>
      <c r="B23" s="12" t="s">
        <v>52</v>
      </c>
      <c r="C23" s="2" t="s">
        <v>25</v>
      </c>
      <c r="D23" s="12" t="s">
        <v>120</v>
      </c>
      <c r="E23" s="20">
        <f>2473153.37</f>
        <v>2473153.37</v>
      </c>
      <c r="F23" s="20">
        <f>2473153.37-482000-145500</f>
        <v>1845653.37</v>
      </c>
      <c r="G23" s="20">
        <v>1251305.01</v>
      </c>
      <c r="H23" s="20">
        <f t="shared" si="1"/>
        <v>594348.36</v>
      </c>
      <c r="I23" s="20">
        <f t="shared" si="5"/>
        <v>50.6</v>
      </c>
      <c r="J23" s="20">
        <f t="shared" si="3"/>
        <v>67.8</v>
      </c>
      <c r="L23" s="11"/>
    </row>
    <row r="24" spans="1:12" s="6" customFormat="1" ht="46.8" x14ac:dyDescent="0.25">
      <c r="A24" s="2" t="s">
        <v>101</v>
      </c>
      <c r="B24" s="12" t="s">
        <v>53</v>
      </c>
      <c r="C24" s="2" t="s">
        <v>146</v>
      </c>
      <c r="D24" s="12" t="s">
        <v>26</v>
      </c>
      <c r="E24" s="13">
        <f t="shared" ref="E24:G26" si="7">E25</f>
        <v>114633000</v>
      </c>
      <c r="F24" s="13">
        <f t="shared" si="7"/>
        <v>134381255.25</v>
      </c>
      <c r="G24" s="13">
        <f t="shared" si="7"/>
        <v>98026761.189999998</v>
      </c>
      <c r="H24" s="13">
        <f t="shared" si="1"/>
        <v>36354494.060000002</v>
      </c>
      <c r="I24" s="13">
        <f t="shared" si="5"/>
        <v>85.51</v>
      </c>
      <c r="J24" s="13">
        <f t="shared" si="3"/>
        <v>72.95</v>
      </c>
      <c r="L24" s="11"/>
    </row>
    <row r="25" spans="1:12" s="6" customFormat="1" ht="46.8" x14ac:dyDescent="0.25">
      <c r="A25" s="14" t="s">
        <v>350</v>
      </c>
      <c r="B25" s="12" t="s">
        <v>53</v>
      </c>
      <c r="C25" s="2" t="s">
        <v>147</v>
      </c>
      <c r="D25" s="12" t="s">
        <v>26</v>
      </c>
      <c r="E25" s="13">
        <f t="shared" si="7"/>
        <v>114633000</v>
      </c>
      <c r="F25" s="13">
        <f t="shared" si="7"/>
        <v>134381255.25</v>
      </c>
      <c r="G25" s="13">
        <f t="shared" si="7"/>
        <v>98026761.189999998</v>
      </c>
      <c r="H25" s="13">
        <f t="shared" si="1"/>
        <v>36354494.060000002</v>
      </c>
      <c r="I25" s="13">
        <f t="shared" si="5"/>
        <v>85.51</v>
      </c>
      <c r="J25" s="13">
        <f t="shared" si="3"/>
        <v>72.95</v>
      </c>
      <c r="L25" s="11"/>
    </row>
    <row r="26" spans="1:12" s="17" customFormat="1" ht="31.2" x14ac:dyDescent="0.3">
      <c r="A26" s="2" t="s">
        <v>348</v>
      </c>
      <c r="B26" s="12" t="s">
        <v>53</v>
      </c>
      <c r="C26" s="2" t="s">
        <v>277</v>
      </c>
      <c r="D26" s="12" t="s">
        <v>26</v>
      </c>
      <c r="E26" s="13">
        <f t="shared" si="7"/>
        <v>114633000</v>
      </c>
      <c r="F26" s="13">
        <f t="shared" si="7"/>
        <v>134381255.25</v>
      </c>
      <c r="G26" s="13">
        <f t="shared" si="7"/>
        <v>98026761.189999998</v>
      </c>
      <c r="H26" s="13">
        <f t="shared" si="1"/>
        <v>36354494.060000002</v>
      </c>
      <c r="I26" s="13">
        <f t="shared" si="5"/>
        <v>85.51</v>
      </c>
      <c r="J26" s="13">
        <f t="shared" si="3"/>
        <v>72.95</v>
      </c>
      <c r="L26" s="11"/>
    </row>
    <row r="27" spans="1:12" s="6" customFormat="1" ht="15.6" x14ac:dyDescent="0.25">
      <c r="A27" s="2" t="s">
        <v>349</v>
      </c>
      <c r="B27" s="12" t="s">
        <v>53</v>
      </c>
      <c r="C27" s="2" t="s">
        <v>274</v>
      </c>
      <c r="D27" s="12" t="s">
        <v>26</v>
      </c>
      <c r="E27" s="13">
        <f>E28+E32</f>
        <v>114633000</v>
      </c>
      <c r="F27" s="13">
        <f>F28+F32</f>
        <v>134381255.25</v>
      </c>
      <c r="G27" s="13">
        <f>G28+G32</f>
        <v>98026761.189999998</v>
      </c>
      <c r="H27" s="13">
        <f t="shared" si="1"/>
        <v>36354494.060000002</v>
      </c>
      <c r="I27" s="13">
        <f t="shared" si="5"/>
        <v>85.51</v>
      </c>
      <c r="J27" s="13">
        <f t="shared" si="3"/>
        <v>72.95</v>
      </c>
      <c r="L27" s="11"/>
    </row>
    <row r="28" spans="1:12" s="6" customFormat="1" ht="31.2" x14ac:dyDescent="0.25">
      <c r="A28" s="2" t="s">
        <v>92</v>
      </c>
      <c r="B28" s="12" t="s">
        <v>53</v>
      </c>
      <c r="C28" s="2" t="s">
        <v>211</v>
      </c>
      <c r="D28" s="12" t="s">
        <v>26</v>
      </c>
      <c r="E28" s="18">
        <f>E29+E30+E31</f>
        <v>114633000</v>
      </c>
      <c r="F28" s="18">
        <f>F29+F30+F31</f>
        <v>133221976.25</v>
      </c>
      <c r="G28" s="18">
        <f>G29+G30+G31</f>
        <v>97012248.189999998</v>
      </c>
      <c r="H28" s="18">
        <f t="shared" si="1"/>
        <v>36209728.060000002</v>
      </c>
      <c r="I28" s="18">
        <f t="shared" si="5"/>
        <v>84.63</v>
      </c>
      <c r="J28" s="18">
        <f t="shared" si="3"/>
        <v>72.819999999999993</v>
      </c>
      <c r="L28" s="11"/>
    </row>
    <row r="29" spans="1:12" s="6" customFormat="1" ht="31.2" x14ac:dyDescent="0.25">
      <c r="A29" s="2" t="s">
        <v>119</v>
      </c>
      <c r="B29" s="12" t="s">
        <v>53</v>
      </c>
      <c r="C29" s="2" t="s">
        <v>211</v>
      </c>
      <c r="D29" s="2">
        <v>120</v>
      </c>
      <c r="E29" s="18">
        <v>112162000</v>
      </c>
      <c r="F29" s="18">
        <v>130454637</v>
      </c>
      <c r="G29" s="18">
        <v>94444284.890000001</v>
      </c>
      <c r="H29" s="18">
        <f t="shared" si="1"/>
        <v>36010352.109999999</v>
      </c>
      <c r="I29" s="18">
        <f t="shared" si="5"/>
        <v>84.2</v>
      </c>
      <c r="J29" s="18">
        <f t="shared" si="3"/>
        <v>72.400000000000006</v>
      </c>
      <c r="L29" s="11"/>
    </row>
    <row r="30" spans="1:12" s="6" customFormat="1" ht="31.2" x14ac:dyDescent="0.25">
      <c r="A30" s="15" t="s">
        <v>117</v>
      </c>
      <c r="B30" s="12" t="s">
        <v>53</v>
      </c>
      <c r="C30" s="2" t="s">
        <v>211</v>
      </c>
      <c r="D30" s="2">
        <v>240</v>
      </c>
      <c r="E30" s="96">
        <v>2340000</v>
      </c>
      <c r="F30" s="96">
        <v>1942273.34</v>
      </c>
      <c r="G30" s="96">
        <v>1759229.39</v>
      </c>
      <c r="H30" s="96">
        <f t="shared" si="1"/>
        <v>183043.95</v>
      </c>
      <c r="I30" s="96">
        <f t="shared" si="5"/>
        <v>75.180000000000007</v>
      </c>
      <c r="J30" s="96">
        <f t="shared" si="3"/>
        <v>90.58</v>
      </c>
      <c r="L30" s="11"/>
    </row>
    <row r="31" spans="1:12" s="6" customFormat="1" ht="15.6" x14ac:dyDescent="0.25">
      <c r="A31" s="15" t="s">
        <v>121</v>
      </c>
      <c r="B31" s="12" t="s">
        <v>53</v>
      </c>
      <c r="C31" s="2" t="s">
        <v>211</v>
      </c>
      <c r="D31" s="2">
        <v>850</v>
      </c>
      <c r="E31" s="18">
        <v>131000</v>
      </c>
      <c r="F31" s="18">
        <v>825065.91</v>
      </c>
      <c r="G31" s="18">
        <v>808733.91</v>
      </c>
      <c r="H31" s="18">
        <f t="shared" si="1"/>
        <v>16332</v>
      </c>
      <c r="I31" s="18">
        <f t="shared" si="5"/>
        <v>617.35</v>
      </c>
      <c r="J31" s="18">
        <f t="shared" si="3"/>
        <v>98.02</v>
      </c>
      <c r="L31" s="11"/>
    </row>
    <row r="32" spans="1:12" s="6" customFormat="1" ht="31.2" x14ac:dyDescent="0.25">
      <c r="A32" s="2" t="s">
        <v>351</v>
      </c>
      <c r="B32" s="12" t="s">
        <v>53</v>
      </c>
      <c r="C32" s="2" t="s">
        <v>214</v>
      </c>
      <c r="D32" s="12" t="s">
        <v>26</v>
      </c>
      <c r="E32" s="18">
        <f>E34+E33</f>
        <v>0</v>
      </c>
      <c r="F32" s="18">
        <f>F34+F33</f>
        <v>1159279</v>
      </c>
      <c r="G32" s="18">
        <f>G34+G33</f>
        <v>1014513</v>
      </c>
      <c r="H32" s="18">
        <f t="shared" si="1"/>
        <v>144766</v>
      </c>
      <c r="I32" s="18" t="s">
        <v>559</v>
      </c>
      <c r="J32" s="18">
        <f t="shared" si="3"/>
        <v>87.51</v>
      </c>
      <c r="L32" s="11"/>
    </row>
    <row r="33" spans="1:12" s="6" customFormat="1" ht="31.2" x14ac:dyDescent="0.25">
      <c r="A33" s="2" t="s">
        <v>117</v>
      </c>
      <c r="B33" s="12" t="s">
        <v>53</v>
      </c>
      <c r="C33" s="2" t="s">
        <v>214</v>
      </c>
      <c r="D33" s="2">
        <v>240</v>
      </c>
      <c r="E33" s="18">
        <v>0</v>
      </c>
      <c r="F33" s="18">
        <v>382245</v>
      </c>
      <c r="G33" s="18">
        <v>309513</v>
      </c>
      <c r="H33" s="18">
        <f t="shared" si="1"/>
        <v>72732</v>
      </c>
      <c r="I33" s="18" t="s">
        <v>559</v>
      </c>
      <c r="J33" s="18">
        <f t="shared" si="3"/>
        <v>80.97</v>
      </c>
      <c r="L33" s="11"/>
    </row>
    <row r="34" spans="1:12" s="6" customFormat="1" ht="15.6" x14ac:dyDescent="0.25">
      <c r="A34" s="2" t="s">
        <v>547</v>
      </c>
      <c r="B34" s="12" t="s">
        <v>53</v>
      </c>
      <c r="C34" s="2" t="s">
        <v>214</v>
      </c>
      <c r="D34" s="2">
        <v>360</v>
      </c>
      <c r="E34" s="18">
        <v>0</v>
      </c>
      <c r="F34" s="18">
        <v>777034</v>
      </c>
      <c r="G34" s="18">
        <v>705000</v>
      </c>
      <c r="H34" s="18">
        <f t="shared" si="1"/>
        <v>72034</v>
      </c>
      <c r="I34" s="18" t="s">
        <v>559</v>
      </c>
      <c r="J34" s="18">
        <f t="shared" si="3"/>
        <v>90.73</v>
      </c>
      <c r="L34" s="11"/>
    </row>
    <row r="35" spans="1:12" s="6" customFormat="1" ht="15.6" x14ac:dyDescent="0.25">
      <c r="A35" s="12" t="s">
        <v>566</v>
      </c>
      <c r="B35" s="12" t="s">
        <v>352</v>
      </c>
      <c r="C35" s="2" t="s">
        <v>146</v>
      </c>
      <c r="D35" s="12" t="s">
        <v>26</v>
      </c>
      <c r="E35" s="13">
        <f t="shared" ref="E35:G39" si="8">E36</f>
        <v>4848</v>
      </c>
      <c r="F35" s="13">
        <f t="shared" si="8"/>
        <v>17716</v>
      </c>
      <c r="G35" s="13">
        <f t="shared" si="8"/>
        <v>17716</v>
      </c>
      <c r="H35" s="13">
        <f t="shared" si="1"/>
        <v>0</v>
      </c>
      <c r="I35" s="13">
        <f t="shared" ref="I35:I66" si="9">$G35/$E35*100</f>
        <v>365.43</v>
      </c>
      <c r="J35" s="13">
        <f t="shared" si="3"/>
        <v>100</v>
      </c>
      <c r="L35" s="11"/>
    </row>
    <row r="36" spans="1:12" s="6" customFormat="1" ht="46.8" x14ac:dyDescent="0.25">
      <c r="A36" s="12" t="s">
        <v>350</v>
      </c>
      <c r="B36" s="12" t="s">
        <v>352</v>
      </c>
      <c r="C36" s="2" t="s">
        <v>147</v>
      </c>
      <c r="D36" s="12" t="s">
        <v>26</v>
      </c>
      <c r="E36" s="13">
        <f t="shared" si="8"/>
        <v>4848</v>
      </c>
      <c r="F36" s="13">
        <f t="shared" si="8"/>
        <v>17716</v>
      </c>
      <c r="G36" s="13">
        <f t="shared" si="8"/>
        <v>17716</v>
      </c>
      <c r="H36" s="13">
        <f t="shared" si="1"/>
        <v>0</v>
      </c>
      <c r="I36" s="13">
        <f t="shared" si="9"/>
        <v>365.43</v>
      </c>
      <c r="J36" s="13">
        <f t="shared" si="3"/>
        <v>100</v>
      </c>
      <c r="L36" s="11"/>
    </row>
    <row r="37" spans="1:12" s="6" customFormat="1" ht="31.2" x14ac:dyDescent="0.25">
      <c r="A37" s="2" t="s">
        <v>348</v>
      </c>
      <c r="B37" s="12" t="s">
        <v>352</v>
      </c>
      <c r="C37" s="2" t="s">
        <v>277</v>
      </c>
      <c r="D37" s="12" t="s">
        <v>26</v>
      </c>
      <c r="E37" s="13">
        <f t="shared" si="8"/>
        <v>4848</v>
      </c>
      <c r="F37" s="13">
        <f t="shared" si="8"/>
        <v>17716</v>
      </c>
      <c r="G37" s="13">
        <f t="shared" si="8"/>
        <v>17716</v>
      </c>
      <c r="H37" s="13">
        <f t="shared" si="1"/>
        <v>0</v>
      </c>
      <c r="I37" s="13">
        <f t="shared" si="9"/>
        <v>365.43</v>
      </c>
      <c r="J37" s="13">
        <f t="shared" si="3"/>
        <v>100</v>
      </c>
      <c r="L37" s="11"/>
    </row>
    <row r="38" spans="1:12" s="6" customFormat="1" ht="15.6" x14ac:dyDescent="0.25">
      <c r="A38" s="2" t="s">
        <v>349</v>
      </c>
      <c r="B38" s="12" t="s">
        <v>352</v>
      </c>
      <c r="C38" s="2" t="s">
        <v>274</v>
      </c>
      <c r="D38" s="12" t="s">
        <v>26</v>
      </c>
      <c r="E38" s="13">
        <f t="shared" si="8"/>
        <v>4848</v>
      </c>
      <c r="F38" s="13">
        <f t="shared" si="8"/>
        <v>17716</v>
      </c>
      <c r="G38" s="13">
        <f t="shared" si="8"/>
        <v>17716</v>
      </c>
      <c r="H38" s="13">
        <f t="shared" si="1"/>
        <v>0</v>
      </c>
      <c r="I38" s="13">
        <f t="shared" si="9"/>
        <v>365.43</v>
      </c>
      <c r="J38" s="13">
        <f t="shared" ref="J38:J69" si="10">$G38/$F38*100</f>
        <v>100</v>
      </c>
      <c r="L38" s="11"/>
    </row>
    <row r="39" spans="1:12" s="22" customFormat="1" ht="62.4" x14ac:dyDescent="0.25">
      <c r="A39" s="19" t="s">
        <v>149</v>
      </c>
      <c r="B39" s="12" t="s">
        <v>352</v>
      </c>
      <c r="C39" s="2" t="s">
        <v>353</v>
      </c>
      <c r="D39" s="12" t="s">
        <v>26</v>
      </c>
      <c r="E39" s="13">
        <f t="shared" si="8"/>
        <v>4848</v>
      </c>
      <c r="F39" s="13">
        <f t="shared" si="8"/>
        <v>17716</v>
      </c>
      <c r="G39" s="13">
        <f t="shared" si="8"/>
        <v>17716</v>
      </c>
      <c r="H39" s="13">
        <f t="shared" si="1"/>
        <v>0</v>
      </c>
      <c r="I39" s="13">
        <f t="shared" si="9"/>
        <v>365.43</v>
      </c>
      <c r="J39" s="13">
        <f t="shared" si="10"/>
        <v>100</v>
      </c>
      <c r="L39" s="11"/>
    </row>
    <row r="40" spans="1:12" s="22" customFormat="1" ht="31.2" x14ac:dyDescent="0.25">
      <c r="A40" s="2" t="s">
        <v>117</v>
      </c>
      <c r="B40" s="12" t="s">
        <v>352</v>
      </c>
      <c r="C40" s="2" t="s">
        <v>353</v>
      </c>
      <c r="D40" s="2">
        <v>240</v>
      </c>
      <c r="E40" s="29">
        <v>4848</v>
      </c>
      <c r="F40" s="29">
        <f>4848+12868</f>
        <v>17716</v>
      </c>
      <c r="G40" s="29">
        <f>4848+12868</f>
        <v>17716</v>
      </c>
      <c r="H40" s="29">
        <f t="shared" si="1"/>
        <v>0</v>
      </c>
      <c r="I40" s="29">
        <f t="shared" si="9"/>
        <v>365.43</v>
      </c>
      <c r="J40" s="29">
        <f t="shared" si="10"/>
        <v>100</v>
      </c>
      <c r="L40" s="11"/>
    </row>
    <row r="41" spans="1:12" s="22" customFormat="1" ht="46.8" x14ac:dyDescent="0.25">
      <c r="A41" s="2" t="s">
        <v>59</v>
      </c>
      <c r="B41" s="12" t="s">
        <v>54</v>
      </c>
      <c r="C41" s="2" t="s">
        <v>146</v>
      </c>
      <c r="D41" s="12" t="s">
        <v>26</v>
      </c>
      <c r="E41" s="13">
        <f t="shared" ref="E41:G42" si="11">E42</f>
        <v>2623926.42</v>
      </c>
      <c r="F41" s="13">
        <f t="shared" si="11"/>
        <v>2854570.24</v>
      </c>
      <c r="G41" s="13">
        <f t="shared" si="11"/>
        <v>2235971.83</v>
      </c>
      <c r="H41" s="13">
        <f t="shared" si="1"/>
        <v>618598.41</v>
      </c>
      <c r="I41" s="13">
        <f t="shared" si="9"/>
        <v>85.21</v>
      </c>
      <c r="J41" s="13">
        <f t="shared" si="10"/>
        <v>78.33</v>
      </c>
      <c r="L41" s="11"/>
    </row>
    <row r="42" spans="1:12" s="17" customFormat="1" ht="46.8" x14ac:dyDescent="0.3">
      <c r="A42" s="14" t="s">
        <v>350</v>
      </c>
      <c r="B42" s="12" t="s">
        <v>54</v>
      </c>
      <c r="C42" s="2" t="s">
        <v>147</v>
      </c>
      <c r="D42" s="12" t="s">
        <v>26</v>
      </c>
      <c r="E42" s="13">
        <f t="shared" si="11"/>
        <v>2623926.42</v>
      </c>
      <c r="F42" s="13">
        <f t="shared" si="11"/>
        <v>2854570.24</v>
      </c>
      <c r="G42" s="13">
        <f t="shared" si="11"/>
        <v>2235971.83</v>
      </c>
      <c r="H42" s="13">
        <f t="shared" si="1"/>
        <v>618598.41</v>
      </c>
      <c r="I42" s="13">
        <f t="shared" si="9"/>
        <v>85.21</v>
      </c>
      <c r="J42" s="13">
        <f t="shared" si="10"/>
        <v>78.33</v>
      </c>
      <c r="L42" s="11"/>
    </row>
    <row r="43" spans="1:12" s="17" customFormat="1" ht="31.2" x14ac:dyDescent="0.3">
      <c r="A43" s="2" t="s">
        <v>348</v>
      </c>
      <c r="B43" s="12" t="s">
        <v>54</v>
      </c>
      <c r="C43" s="2" t="s">
        <v>277</v>
      </c>
      <c r="D43" s="12" t="s">
        <v>26</v>
      </c>
      <c r="E43" s="13">
        <f>E44+E48</f>
        <v>2623926.42</v>
      </c>
      <c r="F43" s="13">
        <f>F44+F48</f>
        <v>2854570.24</v>
      </c>
      <c r="G43" s="13">
        <f>G44+G48</f>
        <v>2235971.83</v>
      </c>
      <c r="H43" s="13">
        <f t="shared" si="1"/>
        <v>618598.41</v>
      </c>
      <c r="I43" s="13">
        <f t="shared" si="9"/>
        <v>85.21</v>
      </c>
      <c r="J43" s="13">
        <f t="shared" si="10"/>
        <v>78.33</v>
      </c>
      <c r="L43" s="11"/>
    </row>
    <row r="44" spans="1:12" s="6" customFormat="1" ht="15.6" x14ac:dyDescent="0.25">
      <c r="A44" s="2" t="s">
        <v>349</v>
      </c>
      <c r="B44" s="12" t="s">
        <v>54</v>
      </c>
      <c r="C44" s="2" t="s">
        <v>274</v>
      </c>
      <c r="D44" s="12" t="s">
        <v>26</v>
      </c>
      <c r="E44" s="13">
        <f>E45</f>
        <v>600020.16</v>
      </c>
      <c r="F44" s="13">
        <f>F45</f>
        <v>600020.16</v>
      </c>
      <c r="G44" s="13">
        <f>G45</f>
        <v>549661.63</v>
      </c>
      <c r="H44" s="13">
        <f t="shared" si="1"/>
        <v>50358.53</v>
      </c>
      <c r="I44" s="13">
        <f t="shared" si="9"/>
        <v>91.61</v>
      </c>
      <c r="J44" s="13">
        <f t="shared" si="10"/>
        <v>91.61</v>
      </c>
      <c r="L44" s="11"/>
    </row>
    <row r="45" spans="1:12" s="6" customFormat="1" ht="31.2" x14ac:dyDescent="0.25">
      <c r="A45" s="2" t="s">
        <v>92</v>
      </c>
      <c r="B45" s="12" t="s">
        <v>54</v>
      </c>
      <c r="C45" s="2" t="s">
        <v>211</v>
      </c>
      <c r="D45" s="12" t="s">
        <v>26</v>
      </c>
      <c r="E45" s="13">
        <f>E46+E47</f>
        <v>600020.16</v>
      </c>
      <c r="F45" s="13">
        <f>F46+F47</f>
        <v>600020.16</v>
      </c>
      <c r="G45" s="13">
        <f>G46+G47</f>
        <v>549661.63</v>
      </c>
      <c r="H45" s="13">
        <f t="shared" si="1"/>
        <v>50358.53</v>
      </c>
      <c r="I45" s="13">
        <f t="shared" si="9"/>
        <v>91.61</v>
      </c>
      <c r="J45" s="13">
        <f t="shared" si="10"/>
        <v>91.61</v>
      </c>
      <c r="L45" s="11"/>
    </row>
    <row r="46" spans="1:12" s="17" customFormat="1" ht="31.2" x14ac:dyDescent="0.3">
      <c r="A46" s="15" t="s">
        <v>117</v>
      </c>
      <c r="B46" s="12" t="s">
        <v>54</v>
      </c>
      <c r="C46" s="2" t="s">
        <v>211</v>
      </c>
      <c r="D46" s="2">
        <v>240</v>
      </c>
      <c r="E46" s="13">
        <v>590020.16</v>
      </c>
      <c r="F46" s="13">
        <v>590020.16</v>
      </c>
      <c r="G46" s="13">
        <v>549661.63</v>
      </c>
      <c r="H46" s="13">
        <f t="shared" si="1"/>
        <v>40358.53</v>
      </c>
      <c r="I46" s="13">
        <f t="shared" si="9"/>
        <v>93.16</v>
      </c>
      <c r="J46" s="13">
        <f t="shared" si="10"/>
        <v>93.16</v>
      </c>
      <c r="L46" s="11"/>
    </row>
    <row r="47" spans="1:12" s="17" customFormat="1" ht="15.6" x14ac:dyDescent="0.3">
      <c r="A47" s="15" t="s">
        <v>121</v>
      </c>
      <c r="B47" s="12" t="s">
        <v>54</v>
      </c>
      <c r="C47" s="2" t="s">
        <v>211</v>
      </c>
      <c r="D47" s="2">
        <v>850</v>
      </c>
      <c r="E47" s="13">
        <v>10000</v>
      </c>
      <c r="F47" s="13">
        <v>10000</v>
      </c>
      <c r="G47" s="13">
        <v>0</v>
      </c>
      <c r="H47" s="13">
        <f t="shared" si="1"/>
        <v>10000</v>
      </c>
      <c r="I47" s="13">
        <f t="shared" si="9"/>
        <v>0</v>
      </c>
      <c r="J47" s="13">
        <f t="shared" si="10"/>
        <v>0</v>
      </c>
      <c r="L47" s="11"/>
    </row>
    <row r="48" spans="1:12" s="17" customFormat="1" ht="15.6" x14ac:dyDescent="0.3">
      <c r="A48" s="2" t="s">
        <v>93</v>
      </c>
      <c r="B48" s="12" t="s">
        <v>54</v>
      </c>
      <c r="C48" s="2" t="s">
        <v>213</v>
      </c>
      <c r="D48" s="12" t="s">
        <v>26</v>
      </c>
      <c r="E48" s="13">
        <f>E49</f>
        <v>2023906.26</v>
      </c>
      <c r="F48" s="13">
        <f>F49</f>
        <v>2254550.08</v>
      </c>
      <c r="G48" s="13">
        <f>G49</f>
        <v>1686310.2</v>
      </c>
      <c r="H48" s="13">
        <f t="shared" si="1"/>
        <v>568239.88</v>
      </c>
      <c r="I48" s="13">
        <f t="shared" si="9"/>
        <v>83.32</v>
      </c>
      <c r="J48" s="13">
        <f t="shared" si="10"/>
        <v>74.8</v>
      </c>
      <c r="L48" s="11"/>
    </row>
    <row r="49" spans="1:12" s="17" customFormat="1" ht="31.2" x14ac:dyDescent="0.3">
      <c r="A49" s="2" t="s">
        <v>119</v>
      </c>
      <c r="B49" s="12" t="s">
        <v>54</v>
      </c>
      <c r="C49" s="2" t="s">
        <v>213</v>
      </c>
      <c r="D49" s="12" t="s">
        <v>120</v>
      </c>
      <c r="E49" s="13">
        <v>2023906.26</v>
      </c>
      <c r="F49" s="13">
        <f>2023906.26+177145.79+53498.03</f>
        <v>2254550.08</v>
      </c>
      <c r="G49" s="13">
        <v>1686310.2</v>
      </c>
      <c r="H49" s="13">
        <f t="shared" si="1"/>
        <v>568239.88</v>
      </c>
      <c r="I49" s="13">
        <f t="shared" si="9"/>
        <v>83.32</v>
      </c>
      <c r="J49" s="13">
        <f t="shared" si="10"/>
        <v>74.8</v>
      </c>
      <c r="L49" s="11"/>
    </row>
    <row r="50" spans="1:12" s="17" customFormat="1" ht="15.6" x14ac:dyDescent="0.3">
      <c r="A50" s="2" t="s">
        <v>29</v>
      </c>
      <c r="B50" s="12" t="s">
        <v>64</v>
      </c>
      <c r="C50" s="2" t="s">
        <v>146</v>
      </c>
      <c r="D50" s="12" t="s">
        <v>26</v>
      </c>
      <c r="E50" s="13">
        <f t="shared" ref="E50:G54" si="12">E51</f>
        <v>20998956.600000001</v>
      </c>
      <c r="F50" s="13">
        <f t="shared" si="12"/>
        <v>10062086.050000001</v>
      </c>
      <c r="G50" s="13">
        <f t="shared" si="12"/>
        <v>0</v>
      </c>
      <c r="H50" s="13">
        <f t="shared" si="1"/>
        <v>10062086.050000001</v>
      </c>
      <c r="I50" s="13">
        <f t="shared" si="9"/>
        <v>0</v>
      </c>
      <c r="J50" s="13">
        <f t="shared" si="10"/>
        <v>0</v>
      </c>
      <c r="L50" s="11"/>
    </row>
    <row r="51" spans="1:12" s="17" customFormat="1" ht="46.8" x14ac:dyDescent="0.3">
      <c r="A51" s="12" t="s">
        <v>350</v>
      </c>
      <c r="B51" s="12" t="s">
        <v>64</v>
      </c>
      <c r="C51" s="2" t="s">
        <v>147</v>
      </c>
      <c r="D51" s="12" t="s">
        <v>26</v>
      </c>
      <c r="E51" s="13">
        <f t="shared" si="12"/>
        <v>20998956.600000001</v>
      </c>
      <c r="F51" s="13">
        <f t="shared" si="12"/>
        <v>10062086.050000001</v>
      </c>
      <c r="G51" s="13">
        <f t="shared" si="12"/>
        <v>0</v>
      </c>
      <c r="H51" s="13">
        <f t="shared" si="1"/>
        <v>10062086.050000001</v>
      </c>
      <c r="I51" s="13">
        <f t="shared" si="9"/>
        <v>0</v>
      </c>
      <c r="J51" s="13">
        <f t="shared" si="10"/>
        <v>0</v>
      </c>
      <c r="L51" s="11"/>
    </row>
    <row r="52" spans="1:12" s="17" customFormat="1" ht="31.2" x14ac:dyDescent="0.3">
      <c r="A52" s="2" t="s">
        <v>348</v>
      </c>
      <c r="B52" s="12" t="s">
        <v>64</v>
      </c>
      <c r="C52" s="2" t="s">
        <v>277</v>
      </c>
      <c r="D52" s="12" t="s">
        <v>26</v>
      </c>
      <c r="E52" s="13">
        <f t="shared" si="12"/>
        <v>20998956.600000001</v>
      </c>
      <c r="F52" s="13">
        <f t="shared" si="12"/>
        <v>10062086.050000001</v>
      </c>
      <c r="G52" s="13">
        <f t="shared" si="12"/>
        <v>0</v>
      </c>
      <c r="H52" s="13">
        <f t="shared" si="1"/>
        <v>10062086.050000001</v>
      </c>
      <c r="I52" s="13">
        <f t="shared" si="9"/>
        <v>0</v>
      </c>
      <c r="J52" s="13">
        <f t="shared" si="10"/>
        <v>0</v>
      </c>
      <c r="L52" s="11"/>
    </row>
    <row r="53" spans="1:12" s="17" customFormat="1" ht="15.6" x14ac:dyDescent="0.3">
      <c r="A53" s="2" t="s">
        <v>349</v>
      </c>
      <c r="B53" s="12" t="s">
        <v>64</v>
      </c>
      <c r="C53" s="2" t="s">
        <v>274</v>
      </c>
      <c r="D53" s="12" t="s">
        <v>26</v>
      </c>
      <c r="E53" s="13">
        <f t="shared" si="12"/>
        <v>20998956.600000001</v>
      </c>
      <c r="F53" s="13">
        <f t="shared" si="12"/>
        <v>10062086.050000001</v>
      </c>
      <c r="G53" s="13">
        <f t="shared" si="12"/>
        <v>0</v>
      </c>
      <c r="H53" s="13">
        <f t="shared" si="1"/>
        <v>10062086.050000001</v>
      </c>
      <c r="I53" s="13">
        <f t="shared" si="9"/>
        <v>0</v>
      </c>
      <c r="J53" s="13">
        <f t="shared" si="10"/>
        <v>0</v>
      </c>
      <c r="L53" s="11"/>
    </row>
    <row r="54" spans="1:12" s="17" customFormat="1" ht="31.2" x14ac:dyDescent="0.3">
      <c r="A54" s="2" t="s">
        <v>351</v>
      </c>
      <c r="B54" s="12" t="s">
        <v>64</v>
      </c>
      <c r="C54" s="2" t="s">
        <v>214</v>
      </c>
      <c r="D54" s="12" t="s">
        <v>26</v>
      </c>
      <c r="E54" s="20">
        <f t="shared" si="12"/>
        <v>20998956.600000001</v>
      </c>
      <c r="F54" s="20">
        <f t="shared" si="12"/>
        <v>10062086.050000001</v>
      </c>
      <c r="G54" s="20">
        <f t="shared" si="12"/>
        <v>0</v>
      </c>
      <c r="H54" s="20">
        <f t="shared" si="1"/>
        <v>10062086.050000001</v>
      </c>
      <c r="I54" s="20">
        <f t="shared" si="9"/>
        <v>0</v>
      </c>
      <c r="J54" s="20">
        <f t="shared" si="10"/>
        <v>0</v>
      </c>
      <c r="L54" s="11"/>
    </row>
    <row r="55" spans="1:12" s="17" customFormat="1" ht="15.6" x14ac:dyDescent="0.3">
      <c r="A55" s="2" t="s">
        <v>80</v>
      </c>
      <c r="B55" s="12" t="s">
        <v>64</v>
      </c>
      <c r="C55" s="2" t="s">
        <v>214</v>
      </c>
      <c r="D55" s="12" t="s">
        <v>81</v>
      </c>
      <c r="E55" s="20">
        <v>20998956.600000001</v>
      </c>
      <c r="F55" s="20">
        <v>10062086.050000001</v>
      </c>
      <c r="G55" s="20">
        <v>0</v>
      </c>
      <c r="H55" s="20">
        <f t="shared" si="1"/>
        <v>10062086.050000001</v>
      </c>
      <c r="I55" s="20">
        <f t="shared" si="9"/>
        <v>0</v>
      </c>
      <c r="J55" s="20">
        <f t="shared" si="10"/>
        <v>0</v>
      </c>
      <c r="L55" s="11"/>
    </row>
    <row r="56" spans="1:12" s="17" customFormat="1" ht="31.2" x14ac:dyDescent="0.3">
      <c r="A56" s="2" t="s">
        <v>43</v>
      </c>
      <c r="B56" s="12" t="s">
        <v>65</v>
      </c>
      <c r="C56" s="2" t="s">
        <v>146</v>
      </c>
      <c r="D56" s="12" t="s">
        <v>26</v>
      </c>
      <c r="E56" s="13">
        <f>E57+E68+E77</f>
        <v>131155503.59999999</v>
      </c>
      <c r="F56" s="13">
        <f>F57+F68+F77</f>
        <v>140441305.36000001</v>
      </c>
      <c r="G56" s="13">
        <f>G57+G68+G77</f>
        <v>98446316.950000003</v>
      </c>
      <c r="H56" s="13">
        <f t="shared" si="1"/>
        <v>41994988.409999996</v>
      </c>
      <c r="I56" s="13">
        <f t="shared" si="9"/>
        <v>75.06</v>
      </c>
      <c r="J56" s="13">
        <f t="shared" si="10"/>
        <v>70.099999999999994</v>
      </c>
      <c r="L56" s="11"/>
    </row>
    <row r="57" spans="1:12" s="17" customFormat="1" ht="46.8" x14ac:dyDescent="0.3">
      <c r="A57" s="14" t="s">
        <v>391</v>
      </c>
      <c r="B57" s="12" t="s">
        <v>65</v>
      </c>
      <c r="C57" s="21" t="s">
        <v>153</v>
      </c>
      <c r="D57" s="12" t="s">
        <v>26</v>
      </c>
      <c r="E57" s="13">
        <f>E58+E62</f>
        <v>1017979</v>
      </c>
      <c r="F57" s="13">
        <f>F58+F62</f>
        <v>2259479</v>
      </c>
      <c r="G57" s="13">
        <f>G58+G62</f>
        <v>1039109.18</v>
      </c>
      <c r="H57" s="13">
        <f t="shared" si="1"/>
        <v>1220369.82</v>
      </c>
      <c r="I57" s="13">
        <f t="shared" si="9"/>
        <v>102.08</v>
      </c>
      <c r="J57" s="13">
        <f t="shared" si="10"/>
        <v>45.99</v>
      </c>
      <c r="L57" s="11"/>
    </row>
    <row r="58" spans="1:12" s="17" customFormat="1" ht="31.2" x14ac:dyDescent="0.3">
      <c r="A58" s="14" t="s">
        <v>402</v>
      </c>
      <c r="B58" s="12" t="s">
        <v>65</v>
      </c>
      <c r="C58" s="2" t="s">
        <v>154</v>
      </c>
      <c r="D58" s="12" t="s">
        <v>26</v>
      </c>
      <c r="E58" s="23">
        <f t="shared" ref="E58:G60" si="13">E59</f>
        <v>914479</v>
      </c>
      <c r="F58" s="23">
        <f t="shared" si="13"/>
        <v>2155979</v>
      </c>
      <c r="G58" s="23">
        <f t="shared" si="13"/>
        <v>1039109.18</v>
      </c>
      <c r="H58" s="23">
        <f t="shared" si="1"/>
        <v>1116869.82</v>
      </c>
      <c r="I58" s="23">
        <f t="shared" si="9"/>
        <v>113.63</v>
      </c>
      <c r="J58" s="23">
        <f t="shared" si="10"/>
        <v>48.2</v>
      </c>
      <c r="L58" s="11"/>
    </row>
    <row r="59" spans="1:12" s="17" customFormat="1" ht="31.2" x14ac:dyDescent="0.3">
      <c r="A59" s="24" t="s">
        <v>403</v>
      </c>
      <c r="B59" s="12" t="s">
        <v>65</v>
      </c>
      <c r="C59" s="2" t="s">
        <v>404</v>
      </c>
      <c r="D59" s="12" t="s">
        <v>26</v>
      </c>
      <c r="E59" s="20">
        <f t="shared" si="13"/>
        <v>914479</v>
      </c>
      <c r="F59" s="20">
        <f t="shared" si="13"/>
        <v>2155979</v>
      </c>
      <c r="G59" s="20">
        <f t="shared" si="13"/>
        <v>1039109.18</v>
      </c>
      <c r="H59" s="20">
        <f t="shared" si="1"/>
        <v>1116869.82</v>
      </c>
      <c r="I59" s="20">
        <f t="shared" si="9"/>
        <v>113.63</v>
      </c>
      <c r="J59" s="20">
        <f t="shared" si="10"/>
        <v>48.2</v>
      </c>
      <c r="L59" s="11"/>
    </row>
    <row r="60" spans="1:12" s="6" customFormat="1" ht="31.2" x14ac:dyDescent="0.25">
      <c r="A60" s="15" t="s">
        <v>405</v>
      </c>
      <c r="B60" s="12" t="s">
        <v>65</v>
      </c>
      <c r="C60" s="2" t="s">
        <v>406</v>
      </c>
      <c r="D60" s="12" t="s">
        <v>26</v>
      </c>
      <c r="E60" s="20">
        <f t="shared" si="13"/>
        <v>914479</v>
      </c>
      <c r="F60" s="20">
        <f t="shared" si="13"/>
        <v>2155979</v>
      </c>
      <c r="G60" s="20">
        <f t="shared" si="13"/>
        <v>1039109.18</v>
      </c>
      <c r="H60" s="20">
        <f t="shared" si="1"/>
        <v>1116869.82</v>
      </c>
      <c r="I60" s="20">
        <f t="shared" si="9"/>
        <v>113.63</v>
      </c>
      <c r="J60" s="20">
        <f t="shared" si="10"/>
        <v>48.2</v>
      </c>
      <c r="L60" s="11"/>
    </row>
    <row r="61" spans="1:12" s="6" customFormat="1" ht="31.2" x14ac:dyDescent="0.25">
      <c r="A61" s="15" t="s">
        <v>117</v>
      </c>
      <c r="B61" s="12" t="s">
        <v>65</v>
      </c>
      <c r="C61" s="2" t="s">
        <v>406</v>
      </c>
      <c r="D61" s="12" t="s">
        <v>118</v>
      </c>
      <c r="E61" s="20">
        <v>914479</v>
      </c>
      <c r="F61" s="20">
        <f>914479+1241500</f>
        <v>2155979</v>
      </c>
      <c r="G61" s="20">
        <v>1039109.18</v>
      </c>
      <c r="H61" s="20">
        <f t="shared" si="1"/>
        <v>1116869.82</v>
      </c>
      <c r="I61" s="20">
        <f t="shared" si="9"/>
        <v>113.63</v>
      </c>
      <c r="J61" s="20">
        <f t="shared" si="10"/>
        <v>48.2</v>
      </c>
      <c r="L61" s="11"/>
    </row>
    <row r="62" spans="1:12" s="17" customFormat="1" ht="15.6" x14ac:dyDescent="0.3">
      <c r="A62" s="24" t="s">
        <v>392</v>
      </c>
      <c r="B62" s="12" t="s">
        <v>65</v>
      </c>
      <c r="C62" s="2" t="s">
        <v>155</v>
      </c>
      <c r="D62" s="12" t="s">
        <v>26</v>
      </c>
      <c r="E62" s="20">
        <f>E63</f>
        <v>103500</v>
      </c>
      <c r="F62" s="20">
        <f>F63</f>
        <v>103500</v>
      </c>
      <c r="G62" s="20">
        <f>G63</f>
        <v>0</v>
      </c>
      <c r="H62" s="20">
        <f t="shared" si="1"/>
        <v>103500</v>
      </c>
      <c r="I62" s="20">
        <f t="shared" si="9"/>
        <v>0</v>
      </c>
      <c r="J62" s="20">
        <f t="shared" si="10"/>
        <v>0</v>
      </c>
      <c r="L62" s="11"/>
    </row>
    <row r="63" spans="1:12" s="6" customFormat="1" ht="31.2" x14ac:dyDescent="0.25">
      <c r="A63" s="24" t="s">
        <v>394</v>
      </c>
      <c r="B63" s="12" t="s">
        <v>65</v>
      </c>
      <c r="C63" s="2" t="s">
        <v>393</v>
      </c>
      <c r="D63" s="12" t="s">
        <v>26</v>
      </c>
      <c r="E63" s="20">
        <f>E64+E66</f>
        <v>103500</v>
      </c>
      <c r="F63" s="20">
        <f>F64+F66</f>
        <v>103500</v>
      </c>
      <c r="G63" s="20">
        <f>G64+G66</f>
        <v>0</v>
      </c>
      <c r="H63" s="20">
        <f t="shared" si="1"/>
        <v>103500</v>
      </c>
      <c r="I63" s="20">
        <f t="shared" si="9"/>
        <v>0</v>
      </c>
      <c r="J63" s="20">
        <f t="shared" si="10"/>
        <v>0</v>
      </c>
      <c r="L63" s="11"/>
    </row>
    <row r="64" spans="1:12" s="6" customFormat="1" ht="93.6" x14ac:dyDescent="0.25">
      <c r="A64" s="15" t="s">
        <v>410</v>
      </c>
      <c r="B64" s="12" t="s">
        <v>65</v>
      </c>
      <c r="C64" s="2" t="s">
        <v>409</v>
      </c>
      <c r="D64" s="12" t="s">
        <v>26</v>
      </c>
      <c r="E64" s="20">
        <f>E65</f>
        <v>3500</v>
      </c>
      <c r="F64" s="20">
        <f>F65</f>
        <v>3500</v>
      </c>
      <c r="G64" s="20">
        <f>G65</f>
        <v>0</v>
      </c>
      <c r="H64" s="20">
        <f t="shared" si="1"/>
        <v>3500</v>
      </c>
      <c r="I64" s="20">
        <f t="shared" si="9"/>
        <v>0</v>
      </c>
      <c r="J64" s="20">
        <f t="shared" si="10"/>
        <v>0</v>
      </c>
      <c r="L64" s="11"/>
    </row>
    <row r="65" spans="1:12" s="6" customFormat="1" ht="31.2" x14ac:dyDescent="0.25">
      <c r="A65" s="15" t="s">
        <v>117</v>
      </c>
      <c r="B65" s="12" t="s">
        <v>65</v>
      </c>
      <c r="C65" s="2" t="s">
        <v>409</v>
      </c>
      <c r="D65" s="12" t="s">
        <v>118</v>
      </c>
      <c r="E65" s="20">
        <v>3500</v>
      </c>
      <c r="F65" s="20">
        <v>3500</v>
      </c>
      <c r="G65" s="20">
        <v>0</v>
      </c>
      <c r="H65" s="20">
        <f t="shared" si="1"/>
        <v>3500</v>
      </c>
      <c r="I65" s="20">
        <f t="shared" si="9"/>
        <v>0</v>
      </c>
      <c r="J65" s="20">
        <f t="shared" si="10"/>
        <v>0</v>
      </c>
      <c r="L65" s="11"/>
    </row>
    <row r="66" spans="1:12" s="6" customFormat="1" ht="46.8" x14ac:dyDescent="0.25">
      <c r="A66" s="15" t="s">
        <v>407</v>
      </c>
      <c r="B66" s="12" t="s">
        <v>65</v>
      </c>
      <c r="C66" s="2" t="s">
        <v>408</v>
      </c>
      <c r="D66" s="12" t="s">
        <v>26</v>
      </c>
      <c r="E66" s="20">
        <f>E67</f>
        <v>100000</v>
      </c>
      <c r="F66" s="20">
        <f>F67</f>
        <v>100000</v>
      </c>
      <c r="G66" s="20">
        <f>G67</f>
        <v>0</v>
      </c>
      <c r="H66" s="20">
        <f t="shared" si="1"/>
        <v>100000</v>
      </c>
      <c r="I66" s="20">
        <f t="shared" si="9"/>
        <v>0</v>
      </c>
      <c r="J66" s="20">
        <f t="shared" si="10"/>
        <v>0</v>
      </c>
      <c r="L66" s="11"/>
    </row>
    <row r="67" spans="1:12" s="6" customFormat="1" ht="31.2" x14ac:dyDescent="0.25">
      <c r="A67" s="15" t="s">
        <v>117</v>
      </c>
      <c r="B67" s="12" t="s">
        <v>65</v>
      </c>
      <c r="C67" s="2" t="s">
        <v>408</v>
      </c>
      <c r="D67" s="12" t="s">
        <v>118</v>
      </c>
      <c r="E67" s="20">
        <v>100000</v>
      </c>
      <c r="F67" s="20">
        <v>100000</v>
      </c>
      <c r="G67" s="20">
        <v>0</v>
      </c>
      <c r="H67" s="20">
        <f t="shared" si="1"/>
        <v>100000</v>
      </c>
      <c r="I67" s="20">
        <f t="shared" ref="I67:I98" si="14">$G67/$E67*100</f>
        <v>0</v>
      </c>
      <c r="J67" s="20">
        <f t="shared" si="10"/>
        <v>0</v>
      </c>
      <c r="L67" s="11"/>
    </row>
    <row r="68" spans="1:12" s="6" customFormat="1" ht="46.8" x14ac:dyDescent="0.25">
      <c r="A68" s="1" t="s">
        <v>411</v>
      </c>
      <c r="B68" s="12" t="s">
        <v>65</v>
      </c>
      <c r="C68" s="2" t="s">
        <v>148</v>
      </c>
      <c r="D68" s="12" t="s">
        <v>26</v>
      </c>
      <c r="E68" s="13">
        <f>E69</f>
        <v>164000</v>
      </c>
      <c r="F68" s="13">
        <f>F69</f>
        <v>164000</v>
      </c>
      <c r="G68" s="13">
        <f>G69</f>
        <v>38317</v>
      </c>
      <c r="H68" s="13">
        <f t="shared" si="1"/>
        <v>125683</v>
      </c>
      <c r="I68" s="13">
        <f t="shared" si="14"/>
        <v>23.36</v>
      </c>
      <c r="J68" s="13">
        <f t="shared" si="10"/>
        <v>23.36</v>
      </c>
      <c r="L68" s="11"/>
    </row>
    <row r="69" spans="1:12" s="6" customFormat="1" ht="78" x14ac:dyDescent="0.25">
      <c r="A69" s="1" t="s">
        <v>412</v>
      </c>
      <c r="B69" s="12" t="s">
        <v>65</v>
      </c>
      <c r="C69" s="2" t="s">
        <v>156</v>
      </c>
      <c r="D69" s="12" t="s">
        <v>26</v>
      </c>
      <c r="E69" s="13">
        <f>E70+E75</f>
        <v>164000</v>
      </c>
      <c r="F69" s="13">
        <f>F70+F75</f>
        <v>164000</v>
      </c>
      <c r="G69" s="13">
        <f>G70+G75</f>
        <v>38317</v>
      </c>
      <c r="H69" s="13">
        <f t="shared" si="1"/>
        <v>125683</v>
      </c>
      <c r="I69" s="13">
        <f t="shared" si="14"/>
        <v>23.36</v>
      </c>
      <c r="J69" s="13">
        <f t="shared" si="10"/>
        <v>23.36</v>
      </c>
      <c r="L69" s="11"/>
    </row>
    <row r="70" spans="1:12" s="6" customFormat="1" ht="46.8" x14ac:dyDescent="0.25">
      <c r="A70" s="25" t="s">
        <v>413</v>
      </c>
      <c r="B70" s="12" t="s">
        <v>65</v>
      </c>
      <c r="C70" s="26" t="s">
        <v>415</v>
      </c>
      <c r="D70" s="12" t="s">
        <v>26</v>
      </c>
      <c r="E70" s="92">
        <f>E72</f>
        <v>124000</v>
      </c>
      <c r="F70" s="92">
        <f>F72</f>
        <v>124000</v>
      </c>
      <c r="G70" s="92">
        <f>G72</f>
        <v>38317</v>
      </c>
      <c r="H70" s="92">
        <f t="shared" ref="H70:H133" si="15">$F70-$G70</f>
        <v>85683</v>
      </c>
      <c r="I70" s="92">
        <f t="shared" si="14"/>
        <v>30.9</v>
      </c>
      <c r="J70" s="92">
        <f t="shared" ref="J70:J101" si="16">$G70/$F70*100</f>
        <v>30.9</v>
      </c>
      <c r="L70" s="11"/>
    </row>
    <row r="71" spans="1:12" s="6" customFormat="1" ht="62.4" x14ac:dyDescent="0.25">
      <c r="A71" s="25" t="s">
        <v>416</v>
      </c>
      <c r="B71" s="12" t="s">
        <v>65</v>
      </c>
      <c r="C71" s="26" t="s">
        <v>414</v>
      </c>
      <c r="D71" s="12" t="s">
        <v>26</v>
      </c>
      <c r="E71" s="20">
        <f>E72</f>
        <v>124000</v>
      </c>
      <c r="F71" s="20">
        <f>F72</f>
        <v>124000</v>
      </c>
      <c r="G71" s="20">
        <f>G72</f>
        <v>38317</v>
      </c>
      <c r="H71" s="20">
        <f t="shared" si="15"/>
        <v>85683</v>
      </c>
      <c r="I71" s="20">
        <f t="shared" si="14"/>
        <v>30.9</v>
      </c>
      <c r="J71" s="20">
        <f t="shared" si="16"/>
        <v>30.9</v>
      </c>
      <c r="L71" s="11"/>
    </row>
    <row r="72" spans="1:12" s="17" customFormat="1" ht="31.2" x14ac:dyDescent="0.3">
      <c r="A72" s="15" t="s">
        <v>117</v>
      </c>
      <c r="B72" s="12" t="s">
        <v>65</v>
      </c>
      <c r="C72" s="26" t="s">
        <v>414</v>
      </c>
      <c r="D72" s="12" t="s">
        <v>118</v>
      </c>
      <c r="E72" s="20">
        <v>124000</v>
      </c>
      <c r="F72" s="20">
        <v>124000</v>
      </c>
      <c r="G72" s="20">
        <v>38317</v>
      </c>
      <c r="H72" s="20">
        <f t="shared" si="15"/>
        <v>85683</v>
      </c>
      <c r="I72" s="20">
        <f t="shared" si="14"/>
        <v>30.9</v>
      </c>
      <c r="J72" s="20">
        <f t="shared" si="16"/>
        <v>30.9</v>
      </c>
      <c r="L72" s="11"/>
    </row>
    <row r="73" spans="1:12" s="17" customFormat="1" ht="78" x14ac:dyDescent="0.3">
      <c r="A73" s="1" t="s">
        <v>412</v>
      </c>
      <c r="B73" s="12" t="s">
        <v>65</v>
      </c>
      <c r="C73" s="2" t="s">
        <v>156</v>
      </c>
      <c r="D73" s="12" t="s">
        <v>26</v>
      </c>
      <c r="E73" s="13">
        <f>E74</f>
        <v>40000</v>
      </c>
      <c r="F73" s="13">
        <f>F74</f>
        <v>40000</v>
      </c>
      <c r="G73" s="13">
        <f>G74</f>
        <v>0</v>
      </c>
      <c r="H73" s="13">
        <f t="shared" si="15"/>
        <v>40000</v>
      </c>
      <c r="I73" s="13">
        <f t="shared" si="14"/>
        <v>0</v>
      </c>
      <c r="J73" s="13">
        <f t="shared" si="16"/>
        <v>0</v>
      </c>
      <c r="L73" s="11"/>
    </row>
    <row r="74" spans="1:12" s="17" customFormat="1" ht="62.4" x14ac:dyDescent="0.3">
      <c r="A74" s="25" t="s">
        <v>418</v>
      </c>
      <c r="B74" s="12" t="s">
        <v>65</v>
      </c>
      <c r="C74" s="26" t="s">
        <v>417</v>
      </c>
      <c r="D74" s="12" t="s">
        <v>26</v>
      </c>
      <c r="E74" s="20">
        <f>E76</f>
        <v>40000</v>
      </c>
      <c r="F74" s="20">
        <f>F76</f>
        <v>40000</v>
      </c>
      <c r="G74" s="20">
        <f>G76</f>
        <v>0</v>
      </c>
      <c r="H74" s="20">
        <f t="shared" si="15"/>
        <v>40000</v>
      </c>
      <c r="I74" s="20">
        <f t="shared" si="14"/>
        <v>0</v>
      </c>
      <c r="J74" s="20">
        <f t="shared" si="16"/>
        <v>0</v>
      </c>
      <c r="L74" s="11"/>
    </row>
    <row r="75" spans="1:12" s="17" customFormat="1" ht="31.2" x14ac:dyDescent="0.3">
      <c r="A75" s="25" t="s">
        <v>112</v>
      </c>
      <c r="B75" s="12" t="s">
        <v>65</v>
      </c>
      <c r="C75" s="26" t="s">
        <v>157</v>
      </c>
      <c r="D75" s="12" t="s">
        <v>26</v>
      </c>
      <c r="E75" s="20">
        <f>E76</f>
        <v>40000</v>
      </c>
      <c r="F75" s="20">
        <f>F76</f>
        <v>40000</v>
      </c>
      <c r="G75" s="20">
        <f>G76</f>
        <v>0</v>
      </c>
      <c r="H75" s="20">
        <f t="shared" si="15"/>
        <v>40000</v>
      </c>
      <c r="I75" s="20">
        <f t="shared" si="14"/>
        <v>0</v>
      </c>
      <c r="J75" s="20">
        <f t="shared" si="16"/>
        <v>0</v>
      </c>
      <c r="L75" s="11"/>
    </row>
    <row r="76" spans="1:12" s="17" customFormat="1" ht="31.2" x14ac:dyDescent="0.3">
      <c r="A76" s="15" t="s">
        <v>117</v>
      </c>
      <c r="B76" s="12" t="s">
        <v>65</v>
      </c>
      <c r="C76" s="26" t="s">
        <v>157</v>
      </c>
      <c r="D76" s="12" t="s">
        <v>118</v>
      </c>
      <c r="E76" s="20">
        <v>40000</v>
      </c>
      <c r="F76" s="20">
        <v>40000</v>
      </c>
      <c r="G76" s="20">
        <v>0</v>
      </c>
      <c r="H76" s="20">
        <f t="shared" si="15"/>
        <v>40000</v>
      </c>
      <c r="I76" s="20">
        <f t="shared" si="14"/>
        <v>0</v>
      </c>
      <c r="J76" s="20">
        <f t="shared" si="16"/>
        <v>0</v>
      </c>
      <c r="L76" s="11"/>
    </row>
    <row r="77" spans="1:12" s="17" customFormat="1" ht="46.8" x14ac:dyDescent="0.3">
      <c r="A77" s="12" t="s">
        <v>350</v>
      </c>
      <c r="B77" s="12" t="s">
        <v>65</v>
      </c>
      <c r="C77" s="2" t="s">
        <v>147</v>
      </c>
      <c r="D77" s="12" t="s">
        <v>26</v>
      </c>
      <c r="E77" s="13">
        <f t="shared" ref="E77:G78" si="17">E78</f>
        <v>129973524.59999999</v>
      </c>
      <c r="F77" s="13">
        <f t="shared" si="17"/>
        <v>138017826.36000001</v>
      </c>
      <c r="G77" s="13">
        <f t="shared" si="17"/>
        <v>97368890.769999996</v>
      </c>
      <c r="H77" s="13">
        <f t="shared" si="15"/>
        <v>40648935.590000004</v>
      </c>
      <c r="I77" s="13">
        <f t="shared" si="14"/>
        <v>74.91</v>
      </c>
      <c r="J77" s="13">
        <f t="shared" si="16"/>
        <v>70.55</v>
      </c>
      <c r="L77" s="11"/>
    </row>
    <row r="78" spans="1:12" s="6" customFormat="1" ht="31.2" x14ac:dyDescent="0.25">
      <c r="A78" s="2" t="s">
        <v>348</v>
      </c>
      <c r="B78" s="12" t="s">
        <v>65</v>
      </c>
      <c r="C78" s="2" t="s">
        <v>277</v>
      </c>
      <c r="D78" s="12" t="s">
        <v>26</v>
      </c>
      <c r="E78" s="13">
        <f t="shared" si="17"/>
        <v>129973524.59999999</v>
      </c>
      <c r="F78" s="13">
        <f t="shared" si="17"/>
        <v>138017826.36000001</v>
      </c>
      <c r="G78" s="13">
        <f t="shared" si="17"/>
        <v>97368890.769999996</v>
      </c>
      <c r="H78" s="13">
        <f t="shared" si="15"/>
        <v>40648935.590000004</v>
      </c>
      <c r="I78" s="13">
        <f t="shared" si="14"/>
        <v>74.91</v>
      </c>
      <c r="J78" s="13">
        <f t="shared" si="16"/>
        <v>70.55</v>
      </c>
      <c r="L78" s="11"/>
    </row>
    <row r="79" spans="1:12" s="6" customFormat="1" ht="15.6" x14ac:dyDescent="0.25">
      <c r="A79" s="2" t="s">
        <v>349</v>
      </c>
      <c r="B79" s="12" t="s">
        <v>65</v>
      </c>
      <c r="C79" s="2" t="s">
        <v>274</v>
      </c>
      <c r="D79" s="12" t="s">
        <v>26</v>
      </c>
      <c r="E79" s="13">
        <f>E84+E87+E90+E93+E80+E96+E98+E101+E82+E103</f>
        <v>129973524.59999999</v>
      </c>
      <c r="F79" s="13">
        <f>F84+F87+F90+F93+F80+F96+F98+F101+F82+F103</f>
        <v>138017826.36000001</v>
      </c>
      <c r="G79" s="13">
        <f>G84+G87+G90+G93+G80+G96+G98+G101+G82+G103</f>
        <v>97368890.769999996</v>
      </c>
      <c r="H79" s="13">
        <f t="shared" si="15"/>
        <v>40648935.590000004</v>
      </c>
      <c r="I79" s="13">
        <f t="shared" si="14"/>
        <v>74.91</v>
      </c>
      <c r="J79" s="13">
        <f t="shared" si="16"/>
        <v>70.55</v>
      </c>
      <c r="L79" s="11"/>
    </row>
    <row r="80" spans="1:12" s="17" customFormat="1" ht="31.2" x14ac:dyDescent="0.3">
      <c r="A80" s="2" t="s">
        <v>79</v>
      </c>
      <c r="B80" s="12" t="s">
        <v>65</v>
      </c>
      <c r="C80" s="2" t="s">
        <v>215</v>
      </c>
      <c r="D80" s="27" t="s">
        <v>26</v>
      </c>
      <c r="E80" s="13">
        <f>E81</f>
        <v>100000</v>
      </c>
      <c r="F80" s="13">
        <f>F81</f>
        <v>488621.6</v>
      </c>
      <c r="G80" s="13">
        <f>G81</f>
        <v>487627.52000000002</v>
      </c>
      <c r="H80" s="13">
        <f t="shared" si="15"/>
        <v>994.08</v>
      </c>
      <c r="I80" s="13">
        <f t="shared" si="14"/>
        <v>487.63</v>
      </c>
      <c r="J80" s="13">
        <f t="shared" si="16"/>
        <v>99.8</v>
      </c>
      <c r="L80" s="11"/>
    </row>
    <row r="81" spans="1:12" s="17" customFormat="1" ht="15.6" x14ac:dyDescent="0.3">
      <c r="A81" s="2" t="s">
        <v>122</v>
      </c>
      <c r="B81" s="12" t="s">
        <v>65</v>
      </c>
      <c r="C81" s="2" t="s">
        <v>215</v>
      </c>
      <c r="D81" s="27" t="s">
        <v>123</v>
      </c>
      <c r="E81" s="20">
        <v>100000</v>
      </c>
      <c r="F81" s="20">
        <f>100000+68828.92+57092.68+262700</f>
        <v>488621.6</v>
      </c>
      <c r="G81" s="20">
        <v>487627.52000000002</v>
      </c>
      <c r="H81" s="20">
        <f t="shared" si="15"/>
        <v>994.08</v>
      </c>
      <c r="I81" s="20">
        <f t="shared" si="14"/>
        <v>487.63</v>
      </c>
      <c r="J81" s="20">
        <f t="shared" si="16"/>
        <v>99.8</v>
      </c>
      <c r="L81" s="11"/>
    </row>
    <row r="82" spans="1:12" s="17" customFormat="1" ht="46.8" x14ac:dyDescent="0.3">
      <c r="A82" s="15" t="s">
        <v>478</v>
      </c>
      <c r="B82" s="12" t="s">
        <v>65</v>
      </c>
      <c r="C82" s="2" t="s">
        <v>505</v>
      </c>
      <c r="D82" s="27" t="s">
        <v>26</v>
      </c>
      <c r="E82" s="20">
        <f>E83</f>
        <v>150000</v>
      </c>
      <c r="F82" s="20">
        <f>F83</f>
        <v>750000</v>
      </c>
      <c r="G82" s="20">
        <f>G83</f>
        <v>511082</v>
      </c>
      <c r="H82" s="20">
        <f t="shared" si="15"/>
        <v>238918</v>
      </c>
      <c r="I82" s="20">
        <f t="shared" si="14"/>
        <v>340.72</v>
      </c>
      <c r="J82" s="20">
        <f t="shared" si="16"/>
        <v>68.14</v>
      </c>
      <c r="L82" s="11"/>
    </row>
    <row r="83" spans="1:12" s="17" customFormat="1" ht="31.2" x14ac:dyDescent="0.3">
      <c r="A83" s="15" t="s">
        <v>117</v>
      </c>
      <c r="B83" s="12" t="s">
        <v>65</v>
      </c>
      <c r="C83" s="2" t="s">
        <v>505</v>
      </c>
      <c r="D83" s="27" t="s">
        <v>118</v>
      </c>
      <c r="E83" s="20">
        <v>150000</v>
      </c>
      <c r="F83" s="20">
        <f>150000+300000+300000</f>
        <v>750000</v>
      </c>
      <c r="G83" s="20">
        <v>511082</v>
      </c>
      <c r="H83" s="20">
        <f t="shared" si="15"/>
        <v>238918</v>
      </c>
      <c r="I83" s="20">
        <f t="shared" si="14"/>
        <v>340.72</v>
      </c>
      <c r="J83" s="20">
        <f t="shared" si="16"/>
        <v>68.14</v>
      </c>
      <c r="L83" s="11"/>
    </row>
    <row r="84" spans="1:12" s="17" customFormat="1" ht="62.4" x14ac:dyDescent="0.3">
      <c r="A84" s="14" t="s">
        <v>272</v>
      </c>
      <c r="B84" s="12" t="s">
        <v>65</v>
      </c>
      <c r="C84" s="28" t="s">
        <v>354</v>
      </c>
      <c r="D84" s="12" t="s">
        <v>26</v>
      </c>
      <c r="E84" s="91">
        <f>E85+E86</f>
        <v>2607156</v>
      </c>
      <c r="F84" s="91">
        <f>F85+F86</f>
        <v>2582883</v>
      </c>
      <c r="G84" s="91">
        <f>G85+G86</f>
        <v>1502485.78</v>
      </c>
      <c r="H84" s="91">
        <f t="shared" si="15"/>
        <v>1080397.22</v>
      </c>
      <c r="I84" s="91">
        <f t="shared" si="14"/>
        <v>57.63</v>
      </c>
      <c r="J84" s="91">
        <f t="shared" si="16"/>
        <v>58.17</v>
      </c>
      <c r="L84" s="11"/>
    </row>
    <row r="85" spans="1:12" s="17" customFormat="1" ht="31.2" x14ac:dyDescent="0.3">
      <c r="A85" s="2" t="s">
        <v>119</v>
      </c>
      <c r="B85" s="12" t="s">
        <v>65</v>
      </c>
      <c r="C85" s="28" t="s">
        <v>354</v>
      </c>
      <c r="D85" s="12" t="s">
        <v>120</v>
      </c>
      <c r="E85" s="29">
        <v>2412156</v>
      </c>
      <c r="F85" s="29">
        <v>2412156</v>
      </c>
      <c r="G85" s="29">
        <v>1471995.78</v>
      </c>
      <c r="H85" s="29">
        <f t="shared" si="15"/>
        <v>940160.22</v>
      </c>
      <c r="I85" s="29">
        <f t="shared" si="14"/>
        <v>61.02</v>
      </c>
      <c r="J85" s="29">
        <f t="shared" si="16"/>
        <v>61.02</v>
      </c>
      <c r="L85" s="11"/>
    </row>
    <row r="86" spans="1:12" s="17" customFormat="1" ht="31.2" x14ac:dyDescent="0.3">
      <c r="A86" s="15" t="s">
        <v>117</v>
      </c>
      <c r="B86" s="12" t="s">
        <v>65</v>
      </c>
      <c r="C86" s="28" t="s">
        <v>354</v>
      </c>
      <c r="D86" s="12" t="s">
        <v>118</v>
      </c>
      <c r="E86" s="13">
        <v>195000</v>
      </c>
      <c r="F86" s="13">
        <f>195000-24273</f>
        <v>170727</v>
      </c>
      <c r="G86" s="13">
        <v>30490</v>
      </c>
      <c r="H86" s="13">
        <f t="shared" si="15"/>
        <v>140237</v>
      </c>
      <c r="I86" s="13">
        <f t="shared" si="14"/>
        <v>15.64</v>
      </c>
      <c r="J86" s="13">
        <f t="shared" si="16"/>
        <v>17.86</v>
      </c>
      <c r="L86" s="11"/>
    </row>
    <row r="87" spans="1:12" s="17" customFormat="1" ht="62.4" x14ac:dyDescent="0.3">
      <c r="A87" s="1" t="s">
        <v>96</v>
      </c>
      <c r="B87" s="14" t="s">
        <v>65</v>
      </c>
      <c r="C87" s="30" t="s">
        <v>275</v>
      </c>
      <c r="D87" s="14" t="s">
        <v>26</v>
      </c>
      <c r="E87" s="20">
        <f>E88+E89</f>
        <v>1219473</v>
      </c>
      <c r="F87" s="20">
        <f>F88+F89</f>
        <v>1208033</v>
      </c>
      <c r="G87" s="20">
        <f>G88+G89</f>
        <v>745379.72</v>
      </c>
      <c r="H87" s="20">
        <f t="shared" si="15"/>
        <v>462653.28</v>
      </c>
      <c r="I87" s="20">
        <f t="shared" si="14"/>
        <v>61.12</v>
      </c>
      <c r="J87" s="20">
        <f t="shared" si="16"/>
        <v>61.7</v>
      </c>
      <c r="L87" s="11"/>
    </row>
    <row r="88" spans="1:12" s="17" customFormat="1" ht="31.2" x14ac:dyDescent="0.3">
      <c r="A88" s="1" t="s">
        <v>119</v>
      </c>
      <c r="B88" s="14" t="s">
        <v>65</v>
      </c>
      <c r="C88" s="30" t="s">
        <v>275</v>
      </c>
      <c r="D88" s="14" t="s">
        <v>120</v>
      </c>
      <c r="E88" s="90">
        <v>1119473</v>
      </c>
      <c r="F88" s="90">
        <v>1119473</v>
      </c>
      <c r="G88" s="90">
        <v>745379.72</v>
      </c>
      <c r="H88" s="90">
        <f t="shared" si="15"/>
        <v>374093.28</v>
      </c>
      <c r="I88" s="90">
        <f t="shared" si="14"/>
        <v>66.58</v>
      </c>
      <c r="J88" s="90">
        <f t="shared" si="16"/>
        <v>66.58</v>
      </c>
      <c r="L88" s="11"/>
    </row>
    <row r="89" spans="1:12" s="17" customFormat="1" ht="31.2" x14ac:dyDescent="0.3">
      <c r="A89" s="31" t="s">
        <v>117</v>
      </c>
      <c r="B89" s="14" t="s">
        <v>65</v>
      </c>
      <c r="C89" s="30" t="s">
        <v>275</v>
      </c>
      <c r="D89" s="14" t="s">
        <v>118</v>
      </c>
      <c r="E89" s="20">
        <v>100000</v>
      </c>
      <c r="F89" s="20">
        <f>100000-11440</f>
        <v>88560</v>
      </c>
      <c r="G89" s="20">
        <v>0</v>
      </c>
      <c r="H89" s="20">
        <f t="shared" si="15"/>
        <v>88560</v>
      </c>
      <c r="I89" s="20">
        <f t="shared" si="14"/>
        <v>0</v>
      </c>
      <c r="J89" s="20">
        <f t="shared" si="16"/>
        <v>0</v>
      </c>
      <c r="L89" s="11"/>
    </row>
    <row r="90" spans="1:12" s="17" customFormat="1" ht="46.8" x14ac:dyDescent="0.3">
      <c r="A90" s="2" t="s">
        <v>95</v>
      </c>
      <c r="B90" s="12" t="s">
        <v>65</v>
      </c>
      <c r="C90" s="2" t="s">
        <v>517</v>
      </c>
      <c r="D90" s="12" t="s">
        <v>26</v>
      </c>
      <c r="E90" s="13">
        <f>E91+E92</f>
        <v>1751461</v>
      </c>
      <c r="F90" s="13">
        <f>F91+F92</f>
        <v>1723746</v>
      </c>
      <c r="G90" s="13">
        <f>G91+G92</f>
        <v>800731.73</v>
      </c>
      <c r="H90" s="13">
        <f t="shared" si="15"/>
        <v>923014.27</v>
      </c>
      <c r="I90" s="13">
        <f t="shared" si="14"/>
        <v>45.72</v>
      </c>
      <c r="J90" s="13">
        <f t="shared" si="16"/>
        <v>46.45</v>
      </c>
      <c r="L90" s="11"/>
    </row>
    <row r="91" spans="1:12" s="17" customFormat="1" ht="31.2" x14ac:dyDescent="0.3">
      <c r="A91" s="2" t="s">
        <v>119</v>
      </c>
      <c r="B91" s="12" t="s">
        <v>65</v>
      </c>
      <c r="C91" s="2" t="s">
        <v>517</v>
      </c>
      <c r="D91" s="12" t="s">
        <v>120</v>
      </c>
      <c r="E91" s="91">
        <v>1668835</v>
      </c>
      <c r="F91" s="91">
        <v>1668835</v>
      </c>
      <c r="G91" s="91">
        <v>800731.73</v>
      </c>
      <c r="H91" s="91">
        <f t="shared" si="15"/>
        <v>868103.27</v>
      </c>
      <c r="I91" s="91">
        <f t="shared" si="14"/>
        <v>47.98</v>
      </c>
      <c r="J91" s="91">
        <f t="shared" si="16"/>
        <v>47.98</v>
      </c>
      <c r="L91" s="11"/>
    </row>
    <row r="92" spans="1:12" s="17" customFormat="1" ht="31.2" x14ac:dyDescent="0.3">
      <c r="A92" s="15" t="s">
        <v>117</v>
      </c>
      <c r="B92" s="12" t="s">
        <v>65</v>
      </c>
      <c r="C92" s="2" t="s">
        <v>517</v>
      </c>
      <c r="D92" s="12" t="s">
        <v>118</v>
      </c>
      <c r="E92" s="13">
        <v>82626</v>
      </c>
      <c r="F92" s="13">
        <f>82626-27715</f>
        <v>54911</v>
      </c>
      <c r="G92" s="13">
        <v>0</v>
      </c>
      <c r="H92" s="13">
        <f t="shared" si="15"/>
        <v>54911</v>
      </c>
      <c r="I92" s="13">
        <f t="shared" si="14"/>
        <v>0</v>
      </c>
      <c r="J92" s="13">
        <f t="shared" si="16"/>
        <v>0</v>
      </c>
      <c r="L92" s="11"/>
    </row>
    <row r="93" spans="1:12" s="17" customFormat="1" ht="46.8" x14ac:dyDescent="0.3">
      <c r="A93" s="2" t="s">
        <v>97</v>
      </c>
      <c r="B93" s="12" t="s">
        <v>65</v>
      </c>
      <c r="C93" s="2" t="s">
        <v>518</v>
      </c>
      <c r="D93" s="12" t="s">
        <v>26</v>
      </c>
      <c r="E93" s="13">
        <f>E94+E95</f>
        <v>1190768</v>
      </c>
      <c r="F93" s="13">
        <f>F94+F95</f>
        <v>1190768</v>
      </c>
      <c r="G93" s="13">
        <f>G94+G95</f>
        <v>599528.27</v>
      </c>
      <c r="H93" s="13">
        <f t="shared" si="15"/>
        <v>591239.73</v>
      </c>
      <c r="I93" s="13">
        <f t="shared" si="14"/>
        <v>50.35</v>
      </c>
      <c r="J93" s="13">
        <f t="shared" si="16"/>
        <v>50.35</v>
      </c>
      <c r="L93" s="11"/>
    </row>
    <row r="94" spans="1:12" s="17" customFormat="1" ht="31.2" x14ac:dyDescent="0.3">
      <c r="A94" s="2" t="s">
        <v>119</v>
      </c>
      <c r="B94" s="12" t="s">
        <v>65</v>
      </c>
      <c r="C94" s="2" t="s">
        <v>518</v>
      </c>
      <c r="D94" s="12" t="s">
        <v>120</v>
      </c>
      <c r="E94" s="13">
        <v>1128358</v>
      </c>
      <c r="F94" s="13">
        <v>1128358</v>
      </c>
      <c r="G94" s="13">
        <v>599528.27</v>
      </c>
      <c r="H94" s="13">
        <f t="shared" si="15"/>
        <v>528829.73</v>
      </c>
      <c r="I94" s="13">
        <f t="shared" si="14"/>
        <v>53.13</v>
      </c>
      <c r="J94" s="13">
        <f t="shared" si="16"/>
        <v>53.13</v>
      </c>
      <c r="L94" s="11"/>
    </row>
    <row r="95" spans="1:12" s="17" customFormat="1" ht="31.2" x14ac:dyDescent="0.3">
      <c r="A95" s="15" t="s">
        <v>117</v>
      </c>
      <c r="B95" s="12" t="s">
        <v>65</v>
      </c>
      <c r="C95" s="2" t="s">
        <v>518</v>
      </c>
      <c r="D95" s="12" t="s">
        <v>118</v>
      </c>
      <c r="E95" s="13">
        <v>62410</v>
      </c>
      <c r="F95" s="13">
        <v>62410</v>
      </c>
      <c r="G95" s="13">
        <v>0</v>
      </c>
      <c r="H95" s="13">
        <f t="shared" si="15"/>
        <v>62410</v>
      </c>
      <c r="I95" s="13">
        <f t="shared" si="14"/>
        <v>0</v>
      </c>
      <c r="J95" s="13">
        <f t="shared" si="16"/>
        <v>0</v>
      </c>
      <c r="L95" s="11"/>
    </row>
    <row r="96" spans="1:12" s="17" customFormat="1" ht="46.8" x14ac:dyDescent="0.3">
      <c r="A96" s="15" t="s">
        <v>98</v>
      </c>
      <c r="B96" s="12" t="s">
        <v>65</v>
      </c>
      <c r="C96" s="2" t="s">
        <v>216</v>
      </c>
      <c r="D96" s="27" t="s">
        <v>26</v>
      </c>
      <c r="E96" s="20">
        <f>E97</f>
        <v>3500000</v>
      </c>
      <c r="F96" s="20">
        <f>F97</f>
        <v>3500000</v>
      </c>
      <c r="G96" s="20">
        <f>G97</f>
        <v>411980.96</v>
      </c>
      <c r="H96" s="20">
        <f t="shared" si="15"/>
        <v>3088019.04</v>
      </c>
      <c r="I96" s="20">
        <f t="shared" si="14"/>
        <v>11.77</v>
      </c>
      <c r="J96" s="20">
        <f t="shared" si="16"/>
        <v>11.77</v>
      </c>
      <c r="L96" s="11"/>
    </row>
    <row r="97" spans="1:12" s="17" customFormat="1" ht="31.2" x14ac:dyDescent="0.3">
      <c r="A97" s="15" t="s">
        <v>117</v>
      </c>
      <c r="B97" s="12" t="s">
        <v>65</v>
      </c>
      <c r="C97" s="2" t="s">
        <v>216</v>
      </c>
      <c r="D97" s="27" t="s">
        <v>118</v>
      </c>
      <c r="E97" s="20">
        <v>3500000</v>
      </c>
      <c r="F97" s="20">
        <v>3500000</v>
      </c>
      <c r="G97" s="20">
        <v>411980.96</v>
      </c>
      <c r="H97" s="20">
        <f t="shared" si="15"/>
        <v>3088019.04</v>
      </c>
      <c r="I97" s="20">
        <f t="shared" si="14"/>
        <v>11.77</v>
      </c>
      <c r="J97" s="20">
        <f t="shared" si="16"/>
        <v>11.77</v>
      </c>
      <c r="L97" s="11"/>
    </row>
    <row r="98" spans="1:12" s="17" customFormat="1" ht="109.2" x14ac:dyDescent="0.3">
      <c r="A98" s="32" t="s">
        <v>492</v>
      </c>
      <c r="B98" s="12" t="s">
        <v>65</v>
      </c>
      <c r="C98" s="2" t="s">
        <v>176</v>
      </c>
      <c r="D98" s="12" t="s">
        <v>26</v>
      </c>
      <c r="E98" s="20">
        <f>E99+E100</f>
        <v>1121405</v>
      </c>
      <c r="F98" s="20">
        <f>F99+F100</f>
        <v>1085733</v>
      </c>
      <c r="G98" s="20">
        <f>G99+G100</f>
        <v>776821.75</v>
      </c>
      <c r="H98" s="20">
        <f t="shared" si="15"/>
        <v>308911.25</v>
      </c>
      <c r="I98" s="20">
        <f t="shared" si="14"/>
        <v>69.27</v>
      </c>
      <c r="J98" s="20">
        <f t="shared" si="16"/>
        <v>71.55</v>
      </c>
      <c r="L98" s="11"/>
    </row>
    <row r="99" spans="1:12" s="17" customFormat="1" ht="31.2" x14ac:dyDescent="0.3">
      <c r="A99" s="2" t="s">
        <v>119</v>
      </c>
      <c r="B99" s="12" t="s">
        <v>65</v>
      </c>
      <c r="C99" s="2" t="s">
        <v>176</v>
      </c>
      <c r="D99" s="12" t="s">
        <v>120</v>
      </c>
      <c r="E99" s="13">
        <v>1036945</v>
      </c>
      <c r="F99" s="13">
        <v>1085733</v>
      </c>
      <c r="G99" s="13">
        <v>776821.75</v>
      </c>
      <c r="H99" s="13">
        <f t="shared" si="15"/>
        <v>308911.25</v>
      </c>
      <c r="I99" s="13">
        <f t="shared" ref="I99:I122" si="18">$G99/$E99*100</f>
        <v>74.91</v>
      </c>
      <c r="J99" s="13">
        <f t="shared" si="16"/>
        <v>71.55</v>
      </c>
      <c r="L99" s="11"/>
    </row>
    <row r="100" spans="1:12" s="17" customFormat="1" ht="31.2" x14ac:dyDescent="0.3">
      <c r="A100" s="15" t="s">
        <v>117</v>
      </c>
      <c r="B100" s="12" t="s">
        <v>65</v>
      </c>
      <c r="C100" s="2" t="s">
        <v>176</v>
      </c>
      <c r="D100" s="27" t="s">
        <v>118</v>
      </c>
      <c r="E100" s="20">
        <v>84460</v>
      </c>
      <c r="F100" s="20">
        <v>0</v>
      </c>
      <c r="G100" s="20">
        <v>0</v>
      </c>
      <c r="H100" s="20">
        <f t="shared" si="15"/>
        <v>0</v>
      </c>
      <c r="I100" s="20">
        <f t="shared" si="18"/>
        <v>0</v>
      </c>
      <c r="J100" s="20" t="e">
        <f t="shared" si="16"/>
        <v>#DIV/0!</v>
      </c>
      <c r="L100" s="11"/>
    </row>
    <row r="101" spans="1:12" s="17" customFormat="1" ht="62.4" x14ac:dyDescent="0.3">
      <c r="A101" s="1" t="s">
        <v>470</v>
      </c>
      <c r="B101" s="12" t="s">
        <v>65</v>
      </c>
      <c r="C101" s="12" t="s">
        <v>236</v>
      </c>
      <c r="D101" s="12" t="s">
        <v>26</v>
      </c>
      <c r="E101" s="20">
        <f>E102</f>
        <v>336933</v>
      </c>
      <c r="F101" s="20">
        <f>F102</f>
        <v>333922</v>
      </c>
      <c r="G101" s="20">
        <f>G102</f>
        <v>0</v>
      </c>
      <c r="H101" s="20">
        <f t="shared" si="15"/>
        <v>333922</v>
      </c>
      <c r="I101" s="20">
        <f t="shared" si="18"/>
        <v>0</v>
      </c>
      <c r="J101" s="20">
        <f t="shared" si="16"/>
        <v>0</v>
      </c>
      <c r="L101" s="11"/>
    </row>
    <row r="102" spans="1:12" s="17" customFormat="1" ht="31.2" x14ac:dyDescent="0.3">
      <c r="A102" s="2" t="s">
        <v>119</v>
      </c>
      <c r="B102" s="12" t="s">
        <v>65</v>
      </c>
      <c r="C102" s="12" t="s">
        <v>236</v>
      </c>
      <c r="D102" s="12" t="s">
        <v>120</v>
      </c>
      <c r="E102" s="90">
        <v>336933</v>
      </c>
      <c r="F102" s="90">
        <f>336933-3011</f>
        <v>333922</v>
      </c>
      <c r="G102" s="90">
        <v>0</v>
      </c>
      <c r="H102" s="90">
        <f t="shared" si="15"/>
        <v>333922</v>
      </c>
      <c r="I102" s="90">
        <f t="shared" si="18"/>
        <v>0</v>
      </c>
      <c r="J102" s="90">
        <f t="shared" ref="J102:J135" si="19">$G102/$F102*100</f>
        <v>0</v>
      </c>
      <c r="L102" s="11"/>
    </row>
    <row r="103" spans="1:12" s="17" customFormat="1" ht="46.8" x14ac:dyDescent="0.3">
      <c r="A103" s="2" t="s">
        <v>111</v>
      </c>
      <c r="B103" s="12" t="s">
        <v>65</v>
      </c>
      <c r="C103" s="2" t="s">
        <v>217</v>
      </c>
      <c r="D103" s="12" t="s">
        <v>26</v>
      </c>
      <c r="E103" s="13">
        <f>E104+E105+E106+E107</f>
        <v>117996328.59999999</v>
      </c>
      <c r="F103" s="13">
        <f>F104+F105+F106+F107</f>
        <v>125154119.76000001</v>
      </c>
      <c r="G103" s="13">
        <f>G104+G105+G106+G107</f>
        <v>91533253.040000007</v>
      </c>
      <c r="H103" s="13">
        <f t="shared" si="15"/>
        <v>33620866.719999999</v>
      </c>
      <c r="I103" s="13">
        <f t="shared" si="18"/>
        <v>77.569999999999993</v>
      </c>
      <c r="J103" s="13">
        <f t="shared" si="19"/>
        <v>73.14</v>
      </c>
      <c r="L103" s="11"/>
    </row>
    <row r="104" spans="1:12" s="17" customFormat="1" ht="15.6" x14ac:dyDescent="0.3">
      <c r="A104" s="15" t="s">
        <v>132</v>
      </c>
      <c r="B104" s="12" t="s">
        <v>65</v>
      </c>
      <c r="C104" s="2" t="s">
        <v>217</v>
      </c>
      <c r="D104" s="12" t="s">
        <v>133</v>
      </c>
      <c r="E104" s="20">
        <f>81110616</f>
        <v>81110616</v>
      </c>
      <c r="F104" s="20">
        <f>81110616+1437385.3+4852425.86</f>
        <v>87400427.159999996</v>
      </c>
      <c r="G104" s="20">
        <v>67562094.670000002</v>
      </c>
      <c r="H104" s="20">
        <f t="shared" si="15"/>
        <v>19838332.489999998</v>
      </c>
      <c r="I104" s="20">
        <f t="shared" si="18"/>
        <v>83.3</v>
      </c>
      <c r="J104" s="20">
        <f t="shared" si="19"/>
        <v>77.3</v>
      </c>
      <c r="L104" s="11"/>
    </row>
    <row r="105" spans="1:12" s="17" customFormat="1" ht="31.2" x14ac:dyDescent="0.3">
      <c r="A105" s="97" t="s">
        <v>117</v>
      </c>
      <c r="B105" s="12" t="s">
        <v>65</v>
      </c>
      <c r="C105" s="2" t="s">
        <v>217</v>
      </c>
      <c r="D105" s="12" t="s">
        <v>118</v>
      </c>
      <c r="E105" s="20">
        <f>36150746.6</f>
        <v>36150746.600000001</v>
      </c>
      <c r="F105" s="20">
        <f>36150746.6+867980</f>
        <v>37018726.600000001</v>
      </c>
      <c r="G105" s="20">
        <v>23758457.300000001</v>
      </c>
      <c r="H105" s="20">
        <f t="shared" si="15"/>
        <v>13260269.300000001</v>
      </c>
      <c r="I105" s="20">
        <f t="shared" si="18"/>
        <v>65.72</v>
      </c>
      <c r="J105" s="20">
        <f t="shared" si="19"/>
        <v>64.180000000000007</v>
      </c>
      <c r="L105" s="11"/>
    </row>
    <row r="106" spans="1:12" s="17" customFormat="1" ht="15.6" x14ac:dyDescent="0.3">
      <c r="A106" s="37" t="s">
        <v>183</v>
      </c>
      <c r="B106" s="12" t="s">
        <v>65</v>
      </c>
      <c r="C106" s="2" t="s">
        <v>217</v>
      </c>
      <c r="D106" s="12" t="s">
        <v>123</v>
      </c>
      <c r="E106" s="92">
        <v>89840</v>
      </c>
      <c r="F106" s="92">
        <v>89840</v>
      </c>
      <c r="G106" s="92">
        <v>6892.8</v>
      </c>
      <c r="H106" s="92">
        <f t="shared" si="15"/>
        <v>82947.199999999997</v>
      </c>
      <c r="I106" s="92">
        <f t="shared" si="18"/>
        <v>7.67</v>
      </c>
      <c r="J106" s="92">
        <f t="shared" si="19"/>
        <v>7.67</v>
      </c>
      <c r="L106" s="11"/>
    </row>
    <row r="107" spans="1:12" s="17" customFormat="1" ht="15.6" x14ac:dyDescent="0.3">
      <c r="A107" s="15" t="s">
        <v>121</v>
      </c>
      <c r="B107" s="12" t="s">
        <v>65</v>
      </c>
      <c r="C107" s="2" t="s">
        <v>217</v>
      </c>
      <c r="D107" s="12" t="s">
        <v>134</v>
      </c>
      <c r="E107" s="20">
        <v>645126</v>
      </c>
      <c r="F107" s="20">
        <v>645126</v>
      </c>
      <c r="G107" s="20">
        <v>205808.27</v>
      </c>
      <c r="H107" s="20">
        <f t="shared" si="15"/>
        <v>439317.73</v>
      </c>
      <c r="I107" s="20">
        <f t="shared" si="18"/>
        <v>31.9</v>
      </c>
      <c r="J107" s="20">
        <f t="shared" si="19"/>
        <v>31.9</v>
      </c>
      <c r="L107" s="11"/>
    </row>
    <row r="108" spans="1:12" s="17" customFormat="1" ht="15.6" x14ac:dyDescent="0.3">
      <c r="A108" s="8" t="s">
        <v>76</v>
      </c>
      <c r="B108" s="9" t="s">
        <v>77</v>
      </c>
      <c r="C108" s="9" t="s">
        <v>146</v>
      </c>
      <c r="D108" s="9" t="s">
        <v>26</v>
      </c>
      <c r="E108" s="33">
        <f>E109</f>
        <v>2932332</v>
      </c>
      <c r="F108" s="33">
        <f>F109</f>
        <v>2391776</v>
      </c>
      <c r="G108" s="33">
        <f>G109</f>
        <v>1201002.8999999999</v>
      </c>
      <c r="H108" s="33">
        <f t="shared" si="15"/>
        <v>1190773.1000000001</v>
      </c>
      <c r="I108" s="33">
        <f t="shared" si="18"/>
        <v>40.96</v>
      </c>
      <c r="J108" s="33">
        <f t="shared" si="19"/>
        <v>50.21</v>
      </c>
      <c r="L108" s="11"/>
    </row>
    <row r="109" spans="1:12" s="6" customFormat="1" ht="15.6" x14ac:dyDescent="0.25">
      <c r="A109" s="2" t="s">
        <v>102</v>
      </c>
      <c r="B109" s="14" t="s">
        <v>78</v>
      </c>
      <c r="C109" s="14" t="s">
        <v>146</v>
      </c>
      <c r="D109" s="14" t="s">
        <v>26</v>
      </c>
      <c r="E109" s="20">
        <f>E111</f>
        <v>2932332</v>
      </c>
      <c r="F109" s="20">
        <f>F111</f>
        <v>2391776</v>
      </c>
      <c r="G109" s="20">
        <f>G111</f>
        <v>1201002.8999999999</v>
      </c>
      <c r="H109" s="20">
        <f t="shared" si="15"/>
        <v>1190773.1000000001</v>
      </c>
      <c r="I109" s="20">
        <f t="shared" si="18"/>
        <v>40.96</v>
      </c>
      <c r="J109" s="20">
        <f t="shared" si="19"/>
        <v>50.21</v>
      </c>
      <c r="L109" s="11"/>
    </row>
    <row r="110" spans="1:12" s="6" customFormat="1" ht="46.8" x14ac:dyDescent="0.25">
      <c r="A110" s="12" t="s">
        <v>350</v>
      </c>
      <c r="B110" s="14" t="s">
        <v>78</v>
      </c>
      <c r="C110" s="14" t="s">
        <v>147</v>
      </c>
      <c r="D110" s="14" t="s">
        <v>26</v>
      </c>
      <c r="E110" s="20">
        <f t="shared" ref="E110:G113" si="20">E111</f>
        <v>2932332</v>
      </c>
      <c r="F110" s="20">
        <f t="shared" si="20"/>
        <v>2391776</v>
      </c>
      <c r="G110" s="20">
        <f t="shared" si="20"/>
        <v>1201002.8999999999</v>
      </c>
      <c r="H110" s="20">
        <f t="shared" si="15"/>
        <v>1190773.1000000001</v>
      </c>
      <c r="I110" s="20">
        <f t="shared" si="18"/>
        <v>40.96</v>
      </c>
      <c r="J110" s="20">
        <f t="shared" si="19"/>
        <v>50.21</v>
      </c>
      <c r="L110" s="11"/>
    </row>
    <row r="111" spans="1:12" s="6" customFormat="1" ht="31.2" x14ac:dyDescent="0.25">
      <c r="A111" s="2" t="s">
        <v>348</v>
      </c>
      <c r="B111" s="14" t="s">
        <v>78</v>
      </c>
      <c r="C111" s="14" t="s">
        <v>277</v>
      </c>
      <c r="D111" s="14" t="s">
        <v>26</v>
      </c>
      <c r="E111" s="20">
        <f t="shared" si="20"/>
        <v>2932332</v>
      </c>
      <c r="F111" s="20">
        <f t="shared" si="20"/>
        <v>2391776</v>
      </c>
      <c r="G111" s="20">
        <f t="shared" si="20"/>
        <v>1201002.8999999999</v>
      </c>
      <c r="H111" s="20">
        <f t="shared" si="15"/>
        <v>1190773.1000000001</v>
      </c>
      <c r="I111" s="20">
        <f t="shared" si="18"/>
        <v>40.96</v>
      </c>
      <c r="J111" s="20">
        <f t="shared" si="19"/>
        <v>50.21</v>
      </c>
      <c r="L111" s="11"/>
    </row>
    <row r="112" spans="1:12" s="6" customFormat="1" ht="15.6" x14ac:dyDescent="0.25">
      <c r="A112" s="2" t="s">
        <v>349</v>
      </c>
      <c r="B112" s="14" t="s">
        <v>78</v>
      </c>
      <c r="C112" s="14" t="s">
        <v>274</v>
      </c>
      <c r="D112" s="14" t="s">
        <v>26</v>
      </c>
      <c r="E112" s="20">
        <f t="shared" si="20"/>
        <v>2932332</v>
      </c>
      <c r="F112" s="20">
        <f t="shared" si="20"/>
        <v>2391776</v>
      </c>
      <c r="G112" s="20">
        <f t="shared" si="20"/>
        <v>1201002.8999999999</v>
      </c>
      <c r="H112" s="20">
        <f t="shared" si="15"/>
        <v>1190773.1000000001</v>
      </c>
      <c r="I112" s="20">
        <f t="shared" si="18"/>
        <v>40.96</v>
      </c>
      <c r="J112" s="20">
        <f t="shared" si="19"/>
        <v>50.21</v>
      </c>
      <c r="L112" s="11"/>
    </row>
    <row r="113" spans="1:12" s="6" customFormat="1" ht="62.4" x14ac:dyDescent="0.25">
      <c r="A113" s="1" t="s">
        <v>94</v>
      </c>
      <c r="B113" s="12" t="s">
        <v>78</v>
      </c>
      <c r="C113" s="12" t="s">
        <v>276</v>
      </c>
      <c r="D113" s="12" t="s">
        <v>26</v>
      </c>
      <c r="E113" s="20">
        <f t="shared" si="20"/>
        <v>2932332</v>
      </c>
      <c r="F113" s="20">
        <f t="shared" si="20"/>
        <v>2391776</v>
      </c>
      <c r="G113" s="20">
        <f t="shared" si="20"/>
        <v>1201002.8999999999</v>
      </c>
      <c r="H113" s="20">
        <f t="shared" si="15"/>
        <v>1190773.1000000001</v>
      </c>
      <c r="I113" s="20">
        <f t="shared" si="18"/>
        <v>40.96</v>
      </c>
      <c r="J113" s="20">
        <f t="shared" si="19"/>
        <v>50.21</v>
      </c>
      <c r="L113" s="11"/>
    </row>
    <row r="114" spans="1:12" s="6" customFormat="1" ht="31.2" x14ac:dyDescent="0.25">
      <c r="A114" s="2" t="s">
        <v>119</v>
      </c>
      <c r="B114" s="12" t="s">
        <v>78</v>
      </c>
      <c r="C114" s="12" t="s">
        <v>276</v>
      </c>
      <c r="D114" s="12" t="s">
        <v>120</v>
      </c>
      <c r="E114" s="90">
        <v>2932332</v>
      </c>
      <c r="F114" s="90">
        <f>2932332-540556</f>
        <v>2391776</v>
      </c>
      <c r="G114" s="90">
        <v>1201002.8999999999</v>
      </c>
      <c r="H114" s="90">
        <f t="shared" si="15"/>
        <v>1190773.1000000001</v>
      </c>
      <c r="I114" s="90">
        <f t="shared" si="18"/>
        <v>40.96</v>
      </c>
      <c r="J114" s="90">
        <f t="shared" si="19"/>
        <v>50.21</v>
      </c>
      <c r="L114" s="11"/>
    </row>
    <row r="115" spans="1:12" s="17" customFormat="1" ht="31.2" x14ac:dyDescent="0.3">
      <c r="A115" s="8" t="s">
        <v>179</v>
      </c>
      <c r="B115" s="9" t="s">
        <v>180</v>
      </c>
      <c r="C115" s="9" t="s">
        <v>181</v>
      </c>
      <c r="D115" s="9" t="s">
        <v>26</v>
      </c>
      <c r="E115" s="10">
        <f t="shared" ref="E115:G117" si="21">E116</f>
        <v>1000000</v>
      </c>
      <c r="F115" s="10">
        <f t="shared" si="21"/>
        <v>8650926.1400000006</v>
      </c>
      <c r="G115" s="10">
        <f t="shared" si="21"/>
        <v>2921761.49</v>
      </c>
      <c r="H115" s="10">
        <f t="shared" si="15"/>
        <v>5729164.6500000004</v>
      </c>
      <c r="I115" s="10">
        <f t="shared" si="18"/>
        <v>292.18</v>
      </c>
      <c r="J115" s="10">
        <f t="shared" si="19"/>
        <v>33.770000000000003</v>
      </c>
      <c r="L115" s="11"/>
    </row>
    <row r="116" spans="1:12" s="17" customFormat="1" ht="46.8" x14ac:dyDescent="0.3">
      <c r="A116" s="1" t="s">
        <v>401</v>
      </c>
      <c r="B116" s="12" t="s">
        <v>399</v>
      </c>
      <c r="C116" s="12" t="s">
        <v>181</v>
      </c>
      <c r="D116" s="12" t="s">
        <v>26</v>
      </c>
      <c r="E116" s="29">
        <f t="shared" si="21"/>
        <v>1000000</v>
      </c>
      <c r="F116" s="29">
        <f t="shared" si="21"/>
        <v>8650926.1400000006</v>
      </c>
      <c r="G116" s="29">
        <f t="shared" si="21"/>
        <v>2921761.49</v>
      </c>
      <c r="H116" s="29">
        <f t="shared" si="15"/>
        <v>5729164.6500000004</v>
      </c>
      <c r="I116" s="29">
        <f t="shared" si="18"/>
        <v>292.18</v>
      </c>
      <c r="J116" s="29">
        <f t="shared" si="19"/>
        <v>33.770000000000003</v>
      </c>
      <c r="L116" s="11"/>
    </row>
    <row r="117" spans="1:12" s="17" customFormat="1" ht="78" x14ac:dyDescent="0.3">
      <c r="A117" s="35" t="s">
        <v>356</v>
      </c>
      <c r="B117" s="12" t="s">
        <v>399</v>
      </c>
      <c r="C117" s="2" t="s">
        <v>150</v>
      </c>
      <c r="D117" s="12" t="s">
        <v>26</v>
      </c>
      <c r="E117" s="91">
        <f t="shared" si="21"/>
        <v>1000000</v>
      </c>
      <c r="F117" s="91">
        <f t="shared" si="21"/>
        <v>8650926.1400000006</v>
      </c>
      <c r="G117" s="91">
        <f t="shared" si="21"/>
        <v>2921761.49</v>
      </c>
      <c r="H117" s="91">
        <f t="shared" si="15"/>
        <v>5729164.6500000004</v>
      </c>
      <c r="I117" s="91">
        <f t="shared" si="18"/>
        <v>292.18</v>
      </c>
      <c r="J117" s="91">
        <f t="shared" si="19"/>
        <v>33.770000000000003</v>
      </c>
      <c r="L117" s="11"/>
    </row>
    <row r="118" spans="1:12" s="17" customFormat="1" ht="46.8" x14ac:dyDescent="0.3">
      <c r="A118" s="35" t="s">
        <v>151</v>
      </c>
      <c r="B118" s="12" t="s">
        <v>399</v>
      </c>
      <c r="C118" s="2" t="s">
        <v>152</v>
      </c>
      <c r="D118" s="12" t="s">
        <v>26</v>
      </c>
      <c r="E118" s="13">
        <f>E119+E121</f>
        <v>1000000</v>
      </c>
      <c r="F118" s="13">
        <f>F119+F121</f>
        <v>8650926.1400000006</v>
      </c>
      <c r="G118" s="13">
        <f>G119+G121</f>
        <v>2921761.49</v>
      </c>
      <c r="H118" s="13">
        <f t="shared" si="15"/>
        <v>5729164.6500000004</v>
      </c>
      <c r="I118" s="13">
        <f t="shared" si="18"/>
        <v>292.18</v>
      </c>
      <c r="J118" s="13">
        <f t="shared" si="19"/>
        <v>33.770000000000003</v>
      </c>
      <c r="L118" s="11"/>
    </row>
    <row r="119" spans="1:12" s="17" customFormat="1" ht="46.8" x14ac:dyDescent="0.3">
      <c r="A119" s="2" t="s">
        <v>487</v>
      </c>
      <c r="B119" s="12" t="s">
        <v>399</v>
      </c>
      <c r="C119" s="2" t="s">
        <v>355</v>
      </c>
      <c r="D119" s="12" t="s">
        <v>26</v>
      </c>
      <c r="E119" s="13">
        <f>E120</f>
        <v>500000</v>
      </c>
      <c r="F119" s="13">
        <f>F120</f>
        <v>500000</v>
      </c>
      <c r="G119" s="13">
        <f>G120</f>
        <v>23500</v>
      </c>
      <c r="H119" s="13">
        <f t="shared" si="15"/>
        <v>476500</v>
      </c>
      <c r="I119" s="13">
        <f t="shared" si="18"/>
        <v>4.7</v>
      </c>
      <c r="J119" s="13">
        <f t="shared" si="19"/>
        <v>4.7</v>
      </c>
      <c r="L119" s="11"/>
    </row>
    <row r="120" spans="1:12" s="17" customFormat="1" ht="31.2" x14ac:dyDescent="0.3">
      <c r="A120" s="15" t="s">
        <v>117</v>
      </c>
      <c r="B120" s="12" t="s">
        <v>399</v>
      </c>
      <c r="C120" s="2" t="s">
        <v>355</v>
      </c>
      <c r="D120" s="12" t="s">
        <v>118</v>
      </c>
      <c r="E120" s="23">
        <v>500000</v>
      </c>
      <c r="F120" s="23">
        <v>500000</v>
      </c>
      <c r="G120" s="23">
        <v>23500</v>
      </c>
      <c r="H120" s="23">
        <f t="shared" si="15"/>
        <v>476500</v>
      </c>
      <c r="I120" s="23">
        <f t="shared" si="18"/>
        <v>4.7</v>
      </c>
      <c r="J120" s="23">
        <f t="shared" si="19"/>
        <v>4.7</v>
      </c>
      <c r="L120" s="11"/>
    </row>
    <row r="121" spans="1:12" s="17" customFormat="1" ht="31.2" x14ac:dyDescent="0.3">
      <c r="A121" s="2" t="s">
        <v>400</v>
      </c>
      <c r="B121" s="12" t="s">
        <v>399</v>
      </c>
      <c r="C121" s="2" t="s">
        <v>504</v>
      </c>
      <c r="D121" s="12" t="s">
        <v>26</v>
      </c>
      <c r="E121" s="13">
        <f>E122+E123</f>
        <v>500000</v>
      </c>
      <c r="F121" s="13">
        <f>F122+F123</f>
        <v>8150926.1399999997</v>
      </c>
      <c r="G121" s="13">
        <f>G122+G123</f>
        <v>2898261.49</v>
      </c>
      <c r="H121" s="13">
        <f t="shared" si="15"/>
        <v>5252664.6500000004</v>
      </c>
      <c r="I121" s="13">
        <f t="shared" si="18"/>
        <v>579.65</v>
      </c>
      <c r="J121" s="13">
        <f t="shared" si="19"/>
        <v>35.56</v>
      </c>
      <c r="L121" s="11"/>
    </row>
    <row r="122" spans="1:12" s="17" customFormat="1" ht="31.2" x14ac:dyDescent="0.3">
      <c r="A122" s="15" t="s">
        <v>117</v>
      </c>
      <c r="B122" s="12" t="s">
        <v>399</v>
      </c>
      <c r="C122" s="2" t="s">
        <v>504</v>
      </c>
      <c r="D122" s="12" t="s">
        <v>118</v>
      </c>
      <c r="E122" s="20">
        <v>500000</v>
      </c>
      <c r="F122" s="20">
        <v>7650926.1399999997</v>
      </c>
      <c r="G122" s="20">
        <v>2498261.4900000002</v>
      </c>
      <c r="H122" s="20">
        <f t="shared" si="15"/>
        <v>5152664.6500000004</v>
      </c>
      <c r="I122" s="20">
        <f t="shared" si="18"/>
        <v>499.65</v>
      </c>
      <c r="J122" s="20">
        <f t="shared" si="19"/>
        <v>32.65</v>
      </c>
      <c r="L122" s="11"/>
    </row>
    <row r="123" spans="1:12" s="17" customFormat="1" ht="62.4" x14ac:dyDescent="0.3">
      <c r="A123" s="15" t="s">
        <v>241</v>
      </c>
      <c r="B123" s="12" t="s">
        <v>399</v>
      </c>
      <c r="C123" s="2" t="s">
        <v>504</v>
      </c>
      <c r="D123" s="12" t="s">
        <v>108</v>
      </c>
      <c r="E123" s="20">
        <v>0</v>
      </c>
      <c r="F123" s="20">
        <f>500000</f>
        <v>500000</v>
      </c>
      <c r="G123" s="20">
        <v>400000</v>
      </c>
      <c r="H123" s="20">
        <f t="shared" si="15"/>
        <v>100000</v>
      </c>
      <c r="I123" s="20" t="s">
        <v>559</v>
      </c>
      <c r="J123" s="20">
        <f t="shared" si="19"/>
        <v>80</v>
      </c>
      <c r="L123" s="11"/>
    </row>
    <row r="124" spans="1:12" s="17" customFormat="1" ht="15.6" x14ac:dyDescent="0.3">
      <c r="A124" s="8" t="s">
        <v>55</v>
      </c>
      <c r="B124" s="9" t="s">
        <v>56</v>
      </c>
      <c r="C124" s="8" t="s">
        <v>146</v>
      </c>
      <c r="D124" s="9" t="s">
        <v>26</v>
      </c>
      <c r="E124" s="94">
        <f>E141+E154+E125+E169+E136</f>
        <v>161916253.03999999</v>
      </c>
      <c r="F124" s="94">
        <f>F141+F154+F125+F169+F136</f>
        <v>169100170.56999999</v>
      </c>
      <c r="G124" s="94">
        <f>G141+G154+G125+G169+G136</f>
        <v>68593743.620000005</v>
      </c>
      <c r="H124" s="94">
        <f t="shared" si="15"/>
        <v>100506426.95</v>
      </c>
      <c r="I124" s="94">
        <f>$G124/$E124*100</f>
        <v>42.36</v>
      </c>
      <c r="J124" s="94">
        <f t="shared" si="19"/>
        <v>40.56</v>
      </c>
      <c r="L124" s="11"/>
    </row>
    <row r="125" spans="1:12" s="17" customFormat="1" ht="15.6" x14ac:dyDescent="0.3">
      <c r="A125" s="2" t="s">
        <v>171</v>
      </c>
      <c r="B125" s="12" t="s">
        <v>172</v>
      </c>
      <c r="C125" s="2" t="s">
        <v>146</v>
      </c>
      <c r="D125" s="12" t="s">
        <v>26</v>
      </c>
      <c r="E125" s="13">
        <f>E126+E131</f>
        <v>2102922.6800000002</v>
      </c>
      <c r="F125" s="13">
        <f>F126+F131</f>
        <v>5050436.8899999997</v>
      </c>
      <c r="G125" s="13">
        <f>G126+G131</f>
        <v>3159669.64</v>
      </c>
      <c r="H125" s="13">
        <f t="shared" si="15"/>
        <v>1890767.25</v>
      </c>
      <c r="I125" s="13">
        <f>$G125/$E125*100</f>
        <v>150.25</v>
      </c>
      <c r="J125" s="13">
        <f t="shared" si="19"/>
        <v>62.56</v>
      </c>
      <c r="L125" s="11"/>
    </row>
    <row r="126" spans="1:12" s="17" customFormat="1" ht="62.4" x14ac:dyDescent="0.3">
      <c r="A126" s="12" t="s">
        <v>541</v>
      </c>
      <c r="B126" s="14" t="s">
        <v>172</v>
      </c>
      <c r="C126" s="14" t="s">
        <v>540</v>
      </c>
      <c r="D126" s="14" t="s">
        <v>26</v>
      </c>
      <c r="E126" s="20">
        <f t="shared" ref="E126:G129" si="22">E127</f>
        <v>0</v>
      </c>
      <c r="F126" s="20">
        <f t="shared" si="22"/>
        <v>1744041.67</v>
      </c>
      <c r="G126" s="20">
        <f t="shared" si="22"/>
        <v>553565</v>
      </c>
      <c r="H126" s="20">
        <f t="shared" si="15"/>
        <v>1190476.67</v>
      </c>
      <c r="I126" s="20" t="s">
        <v>559</v>
      </c>
      <c r="J126" s="20">
        <f t="shared" si="19"/>
        <v>31.74</v>
      </c>
      <c r="L126" s="11"/>
    </row>
    <row r="127" spans="1:12" s="17" customFormat="1" ht="46.8" x14ac:dyDescent="0.3">
      <c r="A127" s="2" t="s">
        <v>543</v>
      </c>
      <c r="B127" s="14" t="s">
        <v>172</v>
      </c>
      <c r="C127" s="14" t="s">
        <v>545</v>
      </c>
      <c r="D127" s="14" t="s">
        <v>26</v>
      </c>
      <c r="E127" s="20">
        <f t="shared" si="22"/>
        <v>0</v>
      </c>
      <c r="F127" s="20">
        <f t="shared" si="22"/>
        <v>1744041.67</v>
      </c>
      <c r="G127" s="20">
        <f t="shared" si="22"/>
        <v>553565</v>
      </c>
      <c r="H127" s="20">
        <f t="shared" si="15"/>
        <v>1190476.67</v>
      </c>
      <c r="I127" s="20" t="s">
        <v>559</v>
      </c>
      <c r="J127" s="20">
        <f t="shared" si="19"/>
        <v>31.74</v>
      </c>
      <c r="L127" s="11"/>
    </row>
    <row r="128" spans="1:12" s="17" customFormat="1" ht="46.8" x14ac:dyDescent="0.3">
      <c r="A128" s="74" t="s">
        <v>544</v>
      </c>
      <c r="B128" s="14" t="s">
        <v>172</v>
      </c>
      <c r="C128" s="14" t="s">
        <v>546</v>
      </c>
      <c r="D128" s="14" t="s">
        <v>26</v>
      </c>
      <c r="E128" s="20">
        <f t="shared" si="22"/>
        <v>0</v>
      </c>
      <c r="F128" s="20">
        <f t="shared" si="22"/>
        <v>1744041.67</v>
      </c>
      <c r="G128" s="20">
        <f t="shared" si="22"/>
        <v>553565</v>
      </c>
      <c r="H128" s="20">
        <f t="shared" si="15"/>
        <v>1190476.67</v>
      </c>
      <c r="I128" s="20" t="s">
        <v>559</v>
      </c>
      <c r="J128" s="20">
        <f t="shared" si="19"/>
        <v>31.74</v>
      </c>
      <c r="L128" s="11"/>
    </row>
    <row r="129" spans="1:12" s="17" customFormat="1" ht="46.8" x14ac:dyDescent="0.3">
      <c r="A129" s="79" t="s">
        <v>519</v>
      </c>
      <c r="B129" s="14" t="s">
        <v>172</v>
      </c>
      <c r="C129" s="1" t="s">
        <v>542</v>
      </c>
      <c r="D129" s="14" t="s">
        <v>26</v>
      </c>
      <c r="E129" s="20">
        <f t="shared" si="22"/>
        <v>0</v>
      </c>
      <c r="F129" s="20">
        <f t="shared" si="22"/>
        <v>1744041.67</v>
      </c>
      <c r="G129" s="20">
        <f t="shared" si="22"/>
        <v>553565</v>
      </c>
      <c r="H129" s="20">
        <f t="shared" si="15"/>
        <v>1190476.67</v>
      </c>
      <c r="I129" s="20" t="s">
        <v>559</v>
      </c>
      <c r="J129" s="20">
        <f t="shared" si="19"/>
        <v>31.74</v>
      </c>
      <c r="L129" s="11"/>
    </row>
    <row r="130" spans="1:12" s="17" customFormat="1" ht="31.2" x14ac:dyDescent="0.3">
      <c r="A130" s="31" t="s">
        <v>117</v>
      </c>
      <c r="B130" s="14" t="s">
        <v>172</v>
      </c>
      <c r="C130" s="1" t="s">
        <v>542</v>
      </c>
      <c r="D130" s="14" t="s">
        <v>118</v>
      </c>
      <c r="E130" s="90">
        <v>0</v>
      </c>
      <c r="F130" s="90">
        <v>1744041.67</v>
      </c>
      <c r="G130" s="90">
        <v>553565</v>
      </c>
      <c r="H130" s="90">
        <f t="shared" si="15"/>
        <v>1190476.67</v>
      </c>
      <c r="I130" s="90" t="s">
        <v>559</v>
      </c>
      <c r="J130" s="90">
        <f t="shared" si="19"/>
        <v>31.74</v>
      </c>
      <c r="L130" s="11"/>
    </row>
    <row r="131" spans="1:12" s="17" customFormat="1" ht="46.8" x14ac:dyDescent="0.3">
      <c r="A131" s="12" t="s">
        <v>350</v>
      </c>
      <c r="B131" s="14" t="s">
        <v>172</v>
      </c>
      <c r="C131" s="14" t="s">
        <v>147</v>
      </c>
      <c r="D131" s="14" t="s">
        <v>26</v>
      </c>
      <c r="E131" s="20">
        <f t="shared" ref="E131:G134" si="23">E132</f>
        <v>2102922.6800000002</v>
      </c>
      <c r="F131" s="20">
        <f t="shared" si="23"/>
        <v>3306395.22</v>
      </c>
      <c r="G131" s="20">
        <f t="shared" si="23"/>
        <v>2606104.64</v>
      </c>
      <c r="H131" s="20">
        <f t="shared" si="15"/>
        <v>700290.58</v>
      </c>
      <c r="I131" s="20">
        <f t="shared" ref="I131:I145" si="24">$G131/$E131*100</f>
        <v>123.93</v>
      </c>
      <c r="J131" s="20">
        <f t="shared" si="19"/>
        <v>78.819999999999993</v>
      </c>
      <c r="L131" s="11"/>
    </row>
    <row r="132" spans="1:12" s="17" customFormat="1" ht="31.2" x14ac:dyDescent="0.3">
      <c r="A132" s="2" t="s">
        <v>348</v>
      </c>
      <c r="B132" s="14" t="s">
        <v>172</v>
      </c>
      <c r="C132" s="14" t="s">
        <v>277</v>
      </c>
      <c r="D132" s="14" t="s">
        <v>26</v>
      </c>
      <c r="E132" s="20">
        <f t="shared" si="23"/>
        <v>2102922.6800000002</v>
      </c>
      <c r="F132" s="20">
        <f t="shared" si="23"/>
        <v>3306395.22</v>
      </c>
      <c r="G132" s="20">
        <f t="shared" si="23"/>
        <v>2606104.64</v>
      </c>
      <c r="H132" s="20">
        <f t="shared" si="15"/>
        <v>700290.58</v>
      </c>
      <c r="I132" s="20">
        <f t="shared" si="24"/>
        <v>123.93</v>
      </c>
      <c r="J132" s="20">
        <f t="shared" si="19"/>
        <v>78.819999999999993</v>
      </c>
      <c r="L132" s="11"/>
    </row>
    <row r="133" spans="1:12" s="17" customFormat="1" ht="15.6" x14ac:dyDescent="0.3">
      <c r="A133" s="2" t="s">
        <v>349</v>
      </c>
      <c r="B133" s="14" t="s">
        <v>172</v>
      </c>
      <c r="C133" s="14" t="s">
        <v>274</v>
      </c>
      <c r="D133" s="14" t="s">
        <v>26</v>
      </c>
      <c r="E133" s="20">
        <f t="shared" si="23"/>
        <v>2102922.6800000002</v>
      </c>
      <c r="F133" s="20">
        <f t="shared" si="23"/>
        <v>3306395.22</v>
      </c>
      <c r="G133" s="20">
        <f t="shared" si="23"/>
        <v>2606104.64</v>
      </c>
      <c r="H133" s="20">
        <f t="shared" si="15"/>
        <v>700290.58</v>
      </c>
      <c r="I133" s="20">
        <f t="shared" si="24"/>
        <v>123.93</v>
      </c>
      <c r="J133" s="20">
        <f t="shared" si="19"/>
        <v>78.819999999999993</v>
      </c>
      <c r="L133" s="11"/>
    </row>
    <row r="134" spans="1:12" s="17" customFormat="1" ht="93.6" x14ac:dyDescent="0.3">
      <c r="A134" s="30" t="s">
        <v>278</v>
      </c>
      <c r="B134" s="14" t="s">
        <v>172</v>
      </c>
      <c r="C134" s="1" t="s">
        <v>158</v>
      </c>
      <c r="D134" s="14" t="s">
        <v>26</v>
      </c>
      <c r="E134" s="20">
        <f t="shared" si="23"/>
        <v>2102922.6800000002</v>
      </c>
      <c r="F134" s="20">
        <f t="shared" si="23"/>
        <v>3306395.22</v>
      </c>
      <c r="G134" s="20">
        <f t="shared" si="23"/>
        <v>2606104.64</v>
      </c>
      <c r="H134" s="20">
        <f t="shared" ref="H134:H197" si="25">$F134-$G134</f>
        <v>700290.58</v>
      </c>
      <c r="I134" s="20">
        <f t="shared" si="24"/>
        <v>123.93</v>
      </c>
      <c r="J134" s="20">
        <f t="shared" si="19"/>
        <v>78.819999999999993</v>
      </c>
      <c r="L134" s="11"/>
    </row>
    <row r="135" spans="1:12" s="17" customFormat="1" ht="31.2" x14ac:dyDescent="0.3">
      <c r="A135" s="31" t="s">
        <v>117</v>
      </c>
      <c r="B135" s="14" t="s">
        <v>172</v>
      </c>
      <c r="C135" s="1" t="s">
        <v>158</v>
      </c>
      <c r="D135" s="14" t="s">
        <v>118</v>
      </c>
      <c r="E135" s="90">
        <v>2102922.6800000002</v>
      </c>
      <c r="F135" s="90">
        <f>2102922.68+1203472.54</f>
        <v>3306395.22</v>
      </c>
      <c r="G135" s="90">
        <v>2606104.64</v>
      </c>
      <c r="H135" s="90">
        <f t="shared" si="25"/>
        <v>700290.58</v>
      </c>
      <c r="I135" s="90">
        <f t="shared" si="24"/>
        <v>123.93</v>
      </c>
      <c r="J135" s="90">
        <f t="shared" si="19"/>
        <v>78.819999999999993</v>
      </c>
      <c r="L135" s="11"/>
    </row>
    <row r="136" spans="1:12" s="17" customFormat="1" ht="15.6" x14ac:dyDescent="0.3">
      <c r="A136" s="2" t="s">
        <v>511</v>
      </c>
      <c r="B136" s="14" t="s">
        <v>509</v>
      </c>
      <c r="C136" s="1" t="s">
        <v>146</v>
      </c>
      <c r="D136" s="14" t="s">
        <v>26</v>
      </c>
      <c r="E136" s="20">
        <f t="shared" ref="E136:G139" si="26">E137</f>
        <v>500000</v>
      </c>
      <c r="F136" s="20">
        <f t="shared" si="26"/>
        <v>0</v>
      </c>
      <c r="G136" s="20">
        <f t="shared" si="26"/>
        <v>0</v>
      </c>
      <c r="H136" s="20">
        <f t="shared" si="25"/>
        <v>0</v>
      </c>
      <c r="I136" s="20">
        <f t="shared" si="24"/>
        <v>0</v>
      </c>
      <c r="J136" s="20" t="s">
        <v>559</v>
      </c>
      <c r="L136" s="11"/>
    </row>
    <row r="137" spans="1:12" s="17" customFormat="1" ht="78" x14ac:dyDescent="0.3">
      <c r="A137" s="35" t="s">
        <v>356</v>
      </c>
      <c r="B137" s="14" t="s">
        <v>509</v>
      </c>
      <c r="C137" s="2" t="s">
        <v>150</v>
      </c>
      <c r="D137" s="12" t="s">
        <v>26</v>
      </c>
      <c r="E137" s="13">
        <f t="shared" si="26"/>
        <v>500000</v>
      </c>
      <c r="F137" s="13">
        <f t="shared" si="26"/>
        <v>0</v>
      </c>
      <c r="G137" s="13">
        <f t="shared" si="26"/>
        <v>0</v>
      </c>
      <c r="H137" s="13">
        <f t="shared" si="25"/>
        <v>0</v>
      </c>
      <c r="I137" s="13">
        <f t="shared" si="24"/>
        <v>0</v>
      </c>
      <c r="J137" s="13" t="s">
        <v>559</v>
      </c>
      <c r="L137" s="11"/>
    </row>
    <row r="138" spans="1:12" s="17" customFormat="1" ht="46.8" x14ac:dyDescent="0.3">
      <c r="A138" s="35" t="s">
        <v>151</v>
      </c>
      <c r="B138" s="14" t="s">
        <v>509</v>
      </c>
      <c r="C138" s="2" t="s">
        <v>152</v>
      </c>
      <c r="D138" s="12" t="s">
        <v>26</v>
      </c>
      <c r="E138" s="13">
        <f t="shared" si="26"/>
        <v>500000</v>
      </c>
      <c r="F138" s="13">
        <f t="shared" si="26"/>
        <v>0</v>
      </c>
      <c r="G138" s="13">
        <f t="shared" si="26"/>
        <v>0</v>
      </c>
      <c r="H138" s="13">
        <f t="shared" si="25"/>
        <v>0</v>
      </c>
      <c r="I138" s="13">
        <f t="shared" si="24"/>
        <v>0</v>
      </c>
      <c r="J138" s="13" t="s">
        <v>559</v>
      </c>
      <c r="L138" s="11"/>
    </row>
    <row r="139" spans="1:12" s="17" customFormat="1" ht="62.4" x14ac:dyDescent="0.3">
      <c r="A139" s="2" t="s">
        <v>512</v>
      </c>
      <c r="B139" s="14" t="s">
        <v>509</v>
      </c>
      <c r="C139" s="2" t="s">
        <v>510</v>
      </c>
      <c r="D139" s="12" t="s">
        <v>26</v>
      </c>
      <c r="E139" s="13">
        <f t="shared" si="26"/>
        <v>500000</v>
      </c>
      <c r="F139" s="13">
        <f t="shared" si="26"/>
        <v>0</v>
      </c>
      <c r="G139" s="13">
        <f t="shared" si="26"/>
        <v>0</v>
      </c>
      <c r="H139" s="13">
        <f t="shared" si="25"/>
        <v>0</v>
      </c>
      <c r="I139" s="13">
        <f t="shared" si="24"/>
        <v>0</v>
      </c>
      <c r="J139" s="13" t="s">
        <v>559</v>
      </c>
      <c r="L139" s="11"/>
    </row>
    <row r="140" spans="1:12" s="17" customFormat="1" ht="31.2" x14ac:dyDescent="0.3">
      <c r="A140" s="15" t="s">
        <v>117</v>
      </c>
      <c r="B140" s="14" t="s">
        <v>509</v>
      </c>
      <c r="C140" s="2" t="s">
        <v>510</v>
      </c>
      <c r="D140" s="12" t="s">
        <v>118</v>
      </c>
      <c r="E140" s="23">
        <v>500000</v>
      </c>
      <c r="F140" s="23">
        <f>500000-500000</f>
        <v>0</v>
      </c>
      <c r="G140" s="23">
        <f>500000-500000</f>
        <v>0</v>
      </c>
      <c r="H140" s="23">
        <f t="shared" si="25"/>
        <v>0</v>
      </c>
      <c r="I140" s="23">
        <f t="shared" si="24"/>
        <v>0</v>
      </c>
      <c r="J140" s="23" t="s">
        <v>559</v>
      </c>
      <c r="L140" s="11"/>
    </row>
    <row r="141" spans="1:12" s="17" customFormat="1" ht="15.6" x14ac:dyDescent="0.3">
      <c r="A141" s="2" t="s">
        <v>62</v>
      </c>
      <c r="B141" s="14" t="s">
        <v>63</v>
      </c>
      <c r="C141" s="1" t="s">
        <v>146</v>
      </c>
      <c r="D141" s="14" t="s">
        <v>26</v>
      </c>
      <c r="E141" s="20">
        <f>E142+E152</f>
        <v>9090313.7599999998</v>
      </c>
      <c r="F141" s="20">
        <f>F142+F152</f>
        <v>10642383.789999999</v>
      </c>
      <c r="G141" s="20">
        <f>G142+G152</f>
        <v>2980161.68</v>
      </c>
      <c r="H141" s="20">
        <f t="shared" si="25"/>
        <v>7662222.1100000003</v>
      </c>
      <c r="I141" s="20">
        <f t="shared" si="24"/>
        <v>32.78</v>
      </c>
      <c r="J141" s="20">
        <f t="shared" ref="J141:J166" si="27">$G141/$F141*100</f>
        <v>28</v>
      </c>
      <c r="L141" s="11"/>
    </row>
    <row r="142" spans="1:12" s="17" customFormat="1" ht="46.8" x14ac:dyDescent="0.3">
      <c r="A142" s="14" t="s">
        <v>357</v>
      </c>
      <c r="B142" s="14" t="s">
        <v>63</v>
      </c>
      <c r="C142" s="1" t="s">
        <v>159</v>
      </c>
      <c r="D142" s="14" t="s">
        <v>26</v>
      </c>
      <c r="E142" s="20">
        <f t="shared" ref="E142:G143" si="28">E143</f>
        <v>9086926.6799999997</v>
      </c>
      <c r="F142" s="20">
        <f t="shared" si="28"/>
        <v>10638996.710000001</v>
      </c>
      <c r="G142" s="20">
        <f t="shared" si="28"/>
        <v>2980161.68</v>
      </c>
      <c r="H142" s="20">
        <f t="shared" si="25"/>
        <v>7658835.0300000003</v>
      </c>
      <c r="I142" s="20">
        <f t="shared" si="24"/>
        <v>32.799999999999997</v>
      </c>
      <c r="J142" s="20">
        <f t="shared" si="27"/>
        <v>28.01</v>
      </c>
      <c r="L142" s="11"/>
    </row>
    <row r="143" spans="1:12" s="17" customFormat="1" ht="46.8" x14ac:dyDescent="0.3">
      <c r="A143" s="14" t="s">
        <v>358</v>
      </c>
      <c r="B143" s="12" t="s">
        <v>63</v>
      </c>
      <c r="C143" s="2" t="s">
        <v>160</v>
      </c>
      <c r="D143" s="12" t="s">
        <v>26</v>
      </c>
      <c r="E143" s="13">
        <f t="shared" si="28"/>
        <v>9086926.6799999997</v>
      </c>
      <c r="F143" s="13">
        <f t="shared" si="28"/>
        <v>10638996.710000001</v>
      </c>
      <c r="G143" s="13">
        <f t="shared" si="28"/>
        <v>2980161.68</v>
      </c>
      <c r="H143" s="13">
        <f t="shared" si="25"/>
        <v>7658835.0300000003</v>
      </c>
      <c r="I143" s="13">
        <f t="shared" si="24"/>
        <v>32.799999999999997</v>
      </c>
      <c r="J143" s="13">
        <f t="shared" si="27"/>
        <v>28.01</v>
      </c>
      <c r="L143" s="11"/>
    </row>
    <row r="144" spans="1:12" s="17" customFormat="1" ht="46.8" x14ac:dyDescent="0.3">
      <c r="A144" s="14" t="s">
        <v>359</v>
      </c>
      <c r="B144" s="12" t="s">
        <v>63</v>
      </c>
      <c r="C144" s="2" t="s">
        <v>297</v>
      </c>
      <c r="D144" s="12" t="s">
        <v>26</v>
      </c>
      <c r="E144" s="13">
        <f>E145+E148+E150</f>
        <v>9086926.6799999997</v>
      </c>
      <c r="F144" s="13">
        <f>F145+F148+F150</f>
        <v>10638996.710000001</v>
      </c>
      <c r="G144" s="13">
        <f>G145+G148+G150</f>
        <v>2980161.68</v>
      </c>
      <c r="H144" s="13">
        <f t="shared" si="25"/>
        <v>7658835.0300000003</v>
      </c>
      <c r="I144" s="13">
        <f t="shared" si="24"/>
        <v>32.799999999999997</v>
      </c>
      <c r="J144" s="13">
        <f t="shared" si="27"/>
        <v>28.01</v>
      </c>
      <c r="L144" s="11"/>
    </row>
    <row r="145" spans="1:12" s="17" customFormat="1" ht="78" x14ac:dyDescent="0.3">
      <c r="A145" s="12" t="s">
        <v>296</v>
      </c>
      <c r="B145" s="12" t="s">
        <v>63</v>
      </c>
      <c r="C145" s="2" t="s">
        <v>295</v>
      </c>
      <c r="D145" s="12" t="s">
        <v>26</v>
      </c>
      <c r="E145" s="20">
        <f>E146+E147</f>
        <v>3983473.92</v>
      </c>
      <c r="F145" s="20">
        <f>F146+F147</f>
        <v>4323473.92</v>
      </c>
      <c r="G145" s="20">
        <f>G146+G147</f>
        <v>2260161.6800000002</v>
      </c>
      <c r="H145" s="20">
        <f t="shared" si="25"/>
        <v>2063312.24</v>
      </c>
      <c r="I145" s="20">
        <f t="shared" si="24"/>
        <v>56.74</v>
      </c>
      <c r="J145" s="20">
        <f t="shared" si="27"/>
        <v>52.28</v>
      </c>
      <c r="L145" s="11"/>
    </row>
    <row r="146" spans="1:12" s="17" customFormat="1" ht="31.2" x14ac:dyDescent="0.3">
      <c r="A146" s="31" t="s">
        <v>117</v>
      </c>
      <c r="B146" s="14" t="s">
        <v>63</v>
      </c>
      <c r="C146" s="2" t="s">
        <v>548</v>
      </c>
      <c r="D146" s="14" t="s">
        <v>118</v>
      </c>
      <c r="E146" s="90">
        <v>0</v>
      </c>
      <c r="F146" s="90">
        <f>340000+3313396.76</f>
        <v>3653396.76</v>
      </c>
      <c r="G146" s="90">
        <v>1590084.52</v>
      </c>
      <c r="H146" s="90">
        <f t="shared" si="25"/>
        <v>2063312.24</v>
      </c>
      <c r="I146" s="90" t="s">
        <v>559</v>
      </c>
      <c r="J146" s="90">
        <f t="shared" si="27"/>
        <v>43.52</v>
      </c>
      <c r="L146" s="11"/>
    </row>
    <row r="147" spans="1:12" s="17" customFormat="1" ht="46.8" x14ac:dyDescent="0.3">
      <c r="A147" s="2" t="s">
        <v>103</v>
      </c>
      <c r="B147" s="12" t="s">
        <v>63</v>
      </c>
      <c r="C147" s="2" t="s">
        <v>295</v>
      </c>
      <c r="D147" s="12" t="s">
        <v>82</v>
      </c>
      <c r="E147" s="20">
        <v>3983473.92</v>
      </c>
      <c r="F147" s="20">
        <f>3983473.92-3313396.76</f>
        <v>670077.16</v>
      </c>
      <c r="G147" s="20">
        <f>3983473.92-3313396.76</f>
        <v>670077.16</v>
      </c>
      <c r="H147" s="20">
        <f t="shared" si="25"/>
        <v>0</v>
      </c>
      <c r="I147" s="20">
        <f t="shared" ref="I147:I193" si="29">$G147/$E147*100</f>
        <v>16.82</v>
      </c>
      <c r="J147" s="20">
        <f t="shared" si="27"/>
        <v>100</v>
      </c>
      <c r="L147" s="11"/>
    </row>
    <row r="148" spans="1:12" s="17" customFormat="1" ht="62.4" x14ac:dyDescent="0.3">
      <c r="A148" s="12" t="s">
        <v>255</v>
      </c>
      <c r="B148" s="12" t="s">
        <v>63</v>
      </c>
      <c r="C148" s="2" t="s">
        <v>256</v>
      </c>
      <c r="D148" s="12" t="s">
        <v>26</v>
      </c>
      <c r="E148" s="20">
        <f>E149</f>
        <v>4848280.12</v>
      </c>
      <c r="F148" s="20">
        <f>F149</f>
        <v>4848280.12</v>
      </c>
      <c r="G148" s="20">
        <f>G149</f>
        <v>480000</v>
      </c>
      <c r="H148" s="20">
        <f t="shared" si="25"/>
        <v>4368280.12</v>
      </c>
      <c r="I148" s="20">
        <f t="shared" si="29"/>
        <v>9.9</v>
      </c>
      <c r="J148" s="20">
        <f t="shared" si="27"/>
        <v>9.9</v>
      </c>
      <c r="L148" s="11"/>
    </row>
    <row r="149" spans="1:12" s="17" customFormat="1" ht="46.8" x14ac:dyDescent="0.3">
      <c r="A149" s="72" t="s">
        <v>103</v>
      </c>
      <c r="B149" s="12" t="s">
        <v>63</v>
      </c>
      <c r="C149" s="2" t="s">
        <v>256</v>
      </c>
      <c r="D149" s="12" t="s">
        <v>82</v>
      </c>
      <c r="E149" s="20">
        <v>4848280.12</v>
      </c>
      <c r="F149" s="20">
        <v>4848280.12</v>
      </c>
      <c r="G149" s="20">
        <v>480000</v>
      </c>
      <c r="H149" s="20">
        <f t="shared" si="25"/>
        <v>4368280.12</v>
      </c>
      <c r="I149" s="20">
        <f t="shared" si="29"/>
        <v>9.9</v>
      </c>
      <c r="J149" s="20">
        <f t="shared" si="27"/>
        <v>9.9</v>
      </c>
      <c r="L149" s="11"/>
    </row>
    <row r="150" spans="1:12" s="17" customFormat="1" ht="62.4" x14ac:dyDescent="0.3">
      <c r="A150" s="84" t="s">
        <v>257</v>
      </c>
      <c r="B150" s="12" t="s">
        <v>63</v>
      </c>
      <c r="C150" s="2" t="s">
        <v>256</v>
      </c>
      <c r="D150" s="12" t="s">
        <v>26</v>
      </c>
      <c r="E150" s="20">
        <f>E151</f>
        <v>255172.64</v>
      </c>
      <c r="F150" s="20">
        <f>F151</f>
        <v>1467242.67</v>
      </c>
      <c r="G150" s="20">
        <f>G151</f>
        <v>240000</v>
      </c>
      <c r="H150" s="20">
        <f t="shared" si="25"/>
        <v>1227242.67</v>
      </c>
      <c r="I150" s="20">
        <f t="shared" si="29"/>
        <v>94.05</v>
      </c>
      <c r="J150" s="20">
        <f t="shared" si="27"/>
        <v>16.36</v>
      </c>
      <c r="L150" s="11"/>
    </row>
    <row r="151" spans="1:12" s="17" customFormat="1" ht="46.8" x14ac:dyDescent="0.3">
      <c r="A151" s="2" t="s">
        <v>103</v>
      </c>
      <c r="B151" s="12" t="s">
        <v>63</v>
      </c>
      <c r="C151" s="2" t="s">
        <v>256</v>
      </c>
      <c r="D151" s="12" t="s">
        <v>82</v>
      </c>
      <c r="E151" s="20">
        <v>255172.64</v>
      </c>
      <c r="F151" s="20">
        <f>255172.64+1212070.03</f>
        <v>1467242.67</v>
      </c>
      <c r="G151" s="20">
        <v>240000</v>
      </c>
      <c r="H151" s="20">
        <f t="shared" si="25"/>
        <v>1227242.67</v>
      </c>
      <c r="I151" s="20">
        <f t="shared" si="29"/>
        <v>94.05</v>
      </c>
      <c r="J151" s="20">
        <f t="shared" si="27"/>
        <v>16.36</v>
      </c>
      <c r="L151" s="11"/>
    </row>
    <row r="152" spans="1:12" s="17" customFormat="1" ht="62.4" x14ac:dyDescent="0.3">
      <c r="A152" s="25" t="s">
        <v>279</v>
      </c>
      <c r="B152" s="12" t="s">
        <v>63</v>
      </c>
      <c r="C152" s="26" t="s">
        <v>194</v>
      </c>
      <c r="D152" s="12" t="s">
        <v>26</v>
      </c>
      <c r="E152" s="20">
        <f>E153</f>
        <v>3387.08</v>
      </c>
      <c r="F152" s="20">
        <f>F153</f>
        <v>3387.08</v>
      </c>
      <c r="G152" s="20">
        <f>G153</f>
        <v>0</v>
      </c>
      <c r="H152" s="20">
        <f t="shared" si="25"/>
        <v>3387.08</v>
      </c>
      <c r="I152" s="20">
        <f t="shared" si="29"/>
        <v>0</v>
      </c>
      <c r="J152" s="20">
        <f t="shared" si="27"/>
        <v>0</v>
      </c>
      <c r="L152" s="11"/>
    </row>
    <row r="153" spans="1:12" s="17" customFormat="1" ht="31.2" x14ac:dyDescent="0.3">
      <c r="A153" s="15" t="s">
        <v>117</v>
      </c>
      <c r="B153" s="12" t="s">
        <v>63</v>
      </c>
      <c r="C153" s="26" t="s">
        <v>194</v>
      </c>
      <c r="D153" s="12" t="s">
        <v>118</v>
      </c>
      <c r="E153" s="90">
        <v>3387.08</v>
      </c>
      <c r="F153" s="90">
        <v>3387.08</v>
      </c>
      <c r="G153" s="90">
        <v>0</v>
      </c>
      <c r="H153" s="90">
        <f t="shared" si="25"/>
        <v>3387.08</v>
      </c>
      <c r="I153" s="90">
        <f t="shared" si="29"/>
        <v>0</v>
      </c>
      <c r="J153" s="90">
        <f t="shared" si="27"/>
        <v>0</v>
      </c>
      <c r="L153" s="11"/>
    </row>
    <row r="154" spans="1:12" s="17" customFormat="1" ht="15.6" x14ac:dyDescent="0.3">
      <c r="A154" s="2" t="s">
        <v>90</v>
      </c>
      <c r="B154" s="12" t="s">
        <v>91</v>
      </c>
      <c r="C154" s="12" t="s">
        <v>146</v>
      </c>
      <c r="D154" s="12" t="s">
        <v>26</v>
      </c>
      <c r="E154" s="13">
        <f t="shared" ref="E154:G155" si="30">E155</f>
        <v>150219000</v>
      </c>
      <c r="F154" s="13">
        <f t="shared" si="30"/>
        <v>153403333.28999999</v>
      </c>
      <c r="G154" s="13">
        <f t="shared" si="30"/>
        <v>62453912.299999997</v>
      </c>
      <c r="H154" s="13">
        <f t="shared" si="25"/>
        <v>90949420.989999995</v>
      </c>
      <c r="I154" s="13">
        <f t="shared" si="29"/>
        <v>41.58</v>
      </c>
      <c r="J154" s="13">
        <f t="shared" si="27"/>
        <v>40.71</v>
      </c>
      <c r="L154" s="11"/>
    </row>
    <row r="155" spans="1:12" s="17" customFormat="1" ht="46.8" x14ac:dyDescent="0.3">
      <c r="A155" s="14" t="s">
        <v>357</v>
      </c>
      <c r="B155" s="12" t="s">
        <v>91</v>
      </c>
      <c r="C155" s="12" t="s">
        <v>159</v>
      </c>
      <c r="D155" s="12" t="s">
        <v>26</v>
      </c>
      <c r="E155" s="13">
        <f t="shared" si="30"/>
        <v>150219000</v>
      </c>
      <c r="F155" s="13">
        <f t="shared" si="30"/>
        <v>153403333.28999999</v>
      </c>
      <c r="G155" s="13">
        <f t="shared" si="30"/>
        <v>62453912.299999997</v>
      </c>
      <c r="H155" s="13">
        <f t="shared" si="25"/>
        <v>90949420.989999995</v>
      </c>
      <c r="I155" s="13">
        <f t="shared" si="29"/>
        <v>41.58</v>
      </c>
      <c r="J155" s="13">
        <f t="shared" si="27"/>
        <v>40.71</v>
      </c>
      <c r="L155" s="11"/>
    </row>
    <row r="156" spans="1:12" s="17" customFormat="1" ht="46.8" x14ac:dyDescent="0.3">
      <c r="A156" s="12" t="s">
        <v>360</v>
      </c>
      <c r="B156" s="12" t="s">
        <v>91</v>
      </c>
      <c r="C156" s="12" t="s">
        <v>161</v>
      </c>
      <c r="D156" s="12" t="s">
        <v>26</v>
      </c>
      <c r="E156" s="13">
        <f>E157+E162</f>
        <v>150219000</v>
      </c>
      <c r="F156" s="13">
        <f>F157+F162</f>
        <v>153403333.28999999</v>
      </c>
      <c r="G156" s="13">
        <f>G157+G162</f>
        <v>62453912.299999997</v>
      </c>
      <c r="H156" s="13">
        <f t="shared" si="25"/>
        <v>90949420.989999995</v>
      </c>
      <c r="I156" s="13">
        <f t="shared" si="29"/>
        <v>41.58</v>
      </c>
      <c r="J156" s="13">
        <f t="shared" si="27"/>
        <v>40.71</v>
      </c>
      <c r="L156" s="11"/>
    </row>
    <row r="157" spans="1:12" s="17" customFormat="1" ht="31.2" x14ac:dyDescent="0.3">
      <c r="A157" s="1" t="s">
        <v>280</v>
      </c>
      <c r="B157" s="12" t="s">
        <v>91</v>
      </c>
      <c r="C157" s="37" t="s">
        <v>205</v>
      </c>
      <c r="D157" s="12" t="s">
        <v>26</v>
      </c>
      <c r="E157" s="13">
        <f>E158+E160</f>
        <v>120000000</v>
      </c>
      <c r="F157" s="13">
        <f>F158+F160</f>
        <v>120000000</v>
      </c>
      <c r="G157" s="13">
        <f>G158+G160</f>
        <v>50829898.640000001</v>
      </c>
      <c r="H157" s="13">
        <f t="shared" si="25"/>
        <v>69170101.359999999</v>
      </c>
      <c r="I157" s="13">
        <f t="shared" si="29"/>
        <v>42.36</v>
      </c>
      <c r="J157" s="13">
        <f t="shared" si="27"/>
        <v>42.36</v>
      </c>
      <c r="L157" s="11"/>
    </row>
    <row r="158" spans="1:12" s="17" customFormat="1" ht="46.8" x14ac:dyDescent="0.3">
      <c r="A158" s="78" t="s">
        <v>550</v>
      </c>
      <c r="B158" s="12" t="s">
        <v>91</v>
      </c>
      <c r="C158" s="37" t="s">
        <v>549</v>
      </c>
      <c r="D158" s="12" t="s">
        <v>26</v>
      </c>
      <c r="E158" s="20">
        <f>E159</f>
        <v>108000000</v>
      </c>
      <c r="F158" s="20">
        <f>F159</f>
        <v>108000000</v>
      </c>
      <c r="G158" s="20">
        <f>G159</f>
        <v>45279862.18</v>
      </c>
      <c r="H158" s="20">
        <f t="shared" si="25"/>
        <v>62720137.82</v>
      </c>
      <c r="I158" s="20">
        <f t="shared" si="29"/>
        <v>41.93</v>
      </c>
      <c r="J158" s="20">
        <f t="shared" si="27"/>
        <v>41.93</v>
      </c>
      <c r="L158" s="11"/>
    </row>
    <row r="159" spans="1:12" s="17" customFormat="1" ht="31.2" x14ac:dyDescent="0.3">
      <c r="A159" s="76" t="s">
        <v>117</v>
      </c>
      <c r="B159" s="12" t="s">
        <v>91</v>
      </c>
      <c r="C159" s="37" t="s">
        <v>549</v>
      </c>
      <c r="D159" s="12" t="s">
        <v>118</v>
      </c>
      <c r="E159" s="20">
        <v>108000000</v>
      </c>
      <c r="F159" s="20">
        <v>108000000</v>
      </c>
      <c r="G159" s="20">
        <v>45279862.18</v>
      </c>
      <c r="H159" s="20">
        <f t="shared" si="25"/>
        <v>62720137.82</v>
      </c>
      <c r="I159" s="20">
        <f t="shared" si="29"/>
        <v>41.93</v>
      </c>
      <c r="J159" s="20">
        <f t="shared" si="27"/>
        <v>41.93</v>
      </c>
      <c r="L159" s="11"/>
    </row>
    <row r="160" spans="1:12" s="6" customFormat="1" ht="62.4" x14ac:dyDescent="0.25">
      <c r="A160" s="24" t="s">
        <v>551</v>
      </c>
      <c r="B160" s="12" t="s">
        <v>91</v>
      </c>
      <c r="C160" s="37" t="s">
        <v>549</v>
      </c>
      <c r="D160" s="12" t="s">
        <v>26</v>
      </c>
      <c r="E160" s="20">
        <f>E161</f>
        <v>12000000</v>
      </c>
      <c r="F160" s="20">
        <f>F161</f>
        <v>12000000</v>
      </c>
      <c r="G160" s="20">
        <f>G161</f>
        <v>5550036.46</v>
      </c>
      <c r="H160" s="20">
        <f t="shared" si="25"/>
        <v>6449963.54</v>
      </c>
      <c r="I160" s="20">
        <f t="shared" si="29"/>
        <v>46.25</v>
      </c>
      <c r="J160" s="20">
        <f t="shared" si="27"/>
        <v>46.25</v>
      </c>
      <c r="L160" s="11"/>
    </row>
    <row r="161" spans="1:12" s="6" customFormat="1" ht="31.2" x14ac:dyDescent="0.25">
      <c r="A161" s="15" t="s">
        <v>117</v>
      </c>
      <c r="B161" s="12" t="s">
        <v>91</v>
      </c>
      <c r="C161" s="37" t="s">
        <v>549</v>
      </c>
      <c r="D161" s="12" t="s">
        <v>118</v>
      </c>
      <c r="E161" s="20">
        <v>12000000</v>
      </c>
      <c r="F161" s="20">
        <v>12000000</v>
      </c>
      <c r="G161" s="20">
        <v>5550036.46</v>
      </c>
      <c r="H161" s="20">
        <f t="shared" si="25"/>
        <v>6449963.54</v>
      </c>
      <c r="I161" s="20">
        <f t="shared" si="29"/>
        <v>46.25</v>
      </c>
      <c r="J161" s="20">
        <f t="shared" si="27"/>
        <v>46.25</v>
      </c>
      <c r="L161" s="11"/>
    </row>
    <row r="162" spans="1:12" s="17" customFormat="1" ht="31.2" x14ac:dyDescent="0.3">
      <c r="A162" s="14" t="s">
        <v>361</v>
      </c>
      <c r="B162" s="12" t="s">
        <v>91</v>
      </c>
      <c r="C162" s="26" t="s">
        <v>182</v>
      </c>
      <c r="D162" s="12" t="s">
        <v>26</v>
      </c>
      <c r="E162" s="13">
        <f>E163+E165+E167</f>
        <v>30219000</v>
      </c>
      <c r="F162" s="13">
        <f>F163+F165+F167</f>
        <v>33403333.289999999</v>
      </c>
      <c r="G162" s="13">
        <f>G163+G165+G167</f>
        <v>11624013.66</v>
      </c>
      <c r="H162" s="13">
        <f t="shared" si="25"/>
        <v>21779319.629999999</v>
      </c>
      <c r="I162" s="13">
        <f t="shared" si="29"/>
        <v>38.47</v>
      </c>
      <c r="J162" s="13">
        <f t="shared" si="27"/>
        <v>34.799999999999997</v>
      </c>
      <c r="L162" s="11"/>
    </row>
    <row r="163" spans="1:12" s="17" customFormat="1" ht="46.8" x14ac:dyDescent="0.3">
      <c r="A163" s="2" t="s">
        <v>363</v>
      </c>
      <c r="B163" s="12" t="s">
        <v>91</v>
      </c>
      <c r="C163" s="12" t="s">
        <v>162</v>
      </c>
      <c r="D163" s="12" t="s">
        <v>26</v>
      </c>
      <c r="E163" s="20">
        <f>E164</f>
        <v>20907422.010000002</v>
      </c>
      <c r="F163" s="20">
        <f>F164</f>
        <v>24337633.289999999</v>
      </c>
      <c r="G163" s="20">
        <f>G164</f>
        <v>5725392.6600000001</v>
      </c>
      <c r="H163" s="20">
        <f t="shared" si="25"/>
        <v>18612240.629999999</v>
      </c>
      <c r="I163" s="20">
        <f t="shared" si="29"/>
        <v>27.38</v>
      </c>
      <c r="J163" s="20">
        <f t="shared" si="27"/>
        <v>23.52</v>
      </c>
      <c r="L163" s="11"/>
    </row>
    <row r="164" spans="1:12" s="17" customFormat="1" ht="31.2" x14ac:dyDescent="0.3">
      <c r="A164" s="15" t="s">
        <v>117</v>
      </c>
      <c r="B164" s="12" t="s">
        <v>91</v>
      </c>
      <c r="C164" s="12" t="s">
        <v>162</v>
      </c>
      <c r="D164" s="12" t="s">
        <v>118</v>
      </c>
      <c r="E164" s="20">
        <v>20907422.010000002</v>
      </c>
      <c r="F164" s="20">
        <f>20907422.01+3184333.29+245877.99</f>
        <v>24337633.289999999</v>
      </c>
      <c r="G164" s="20">
        <v>5725392.6600000001</v>
      </c>
      <c r="H164" s="20">
        <f t="shared" si="25"/>
        <v>18612240.629999999</v>
      </c>
      <c r="I164" s="20">
        <f t="shared" si="29"/>
        <v>27.38</v>
      </c>
      <c r="J164" s="20">
        <f t="shared" si="27"/>
        <v>23.52</v>
      </c>
      <c r="L164" s="11"/>
    </row>
    <row r="165" spans="1:12" s="6" customFormat="1" ht="46.8" x14ac:dyDescent="0.25">
      <c r="A165" s="25" t="s">
        <v>362</v>
      </c>
      <c r="B165" s="12" t="s">
        <v>91</v>
      </c>
      <c r="C165" s="26" t="s">
        <v>163</v>
      </c>
      <c r="D165" s="12" t="s">
        <v>26</v>
      </c>
      <c r="E165" s="20">
        <f>E166</f>
        <v>9065700</v>
      </c>
      <c r="F165" s="20">
        <f>F166</f>
        <v>9065700</v>
      </c>
      <c r="G165" s="20">
        <f>G166</f>
        <v>5898621</v>
      </c>
      <c r="H165" s="20">
        <f t="shared" si="25"/>
        <v>3167079</v>
      </c>
      <c r="I165" s="20">
        <f t="shared" si="29"/>
        <v>65.069999999999993</v>
      </c>
      <c r="J165" s="20">
        <f t="shared" si="27"/>
        <v>65.069999999999993</v>
      </c>
      <c r="L165" s="11"/>
    </row>
    <row r="166" spans="1:12" s="6" customFormat="1" ht="31.2" x14ac:dyDescent="0.25">
      <c r="A166" s="15" t="s">
        <v>117</v>
      </c>
      <c r="B166" s="12" t="s">
        <v>91</v>
      </c>
      <c r="C166" s="26" t="s">
        <v>163</v>
      </c>
      <c r="D166" s="12" t="s">
        <v>118</v>
      </c>
      <c r="E166" s="20">
        <v>9065700</v>
      </c>
      <c r="F166" s="20">
        <v>9065700</v>
      </c>
      <c r="G166" s="20">
        <v>5898621</v>
      </c>
      <c r="H166" s="20">
        <f t="shared" si="25"/>
        <v>3167079</v>
      </c>
      <c r="I166" s="20">
        <f t="shared" si="29"/>
        <v>65.069999999999993</v>
      </c>
      <c r="J166" s="20">
        <f t="shared" si="27"/>
        <v>65.069999999999993</v>
      </c>
      <c r="L166" s="11"/>
    </row>
    <row r="167" spans="1:12" s="6" customFormat="1" ht="109.2" x14ac:dyDescent="0.25">
      <c r="A167" s="2" t="s">
        <v>458</v>
      </c>
      <c r="B167" s="12" t="s">
        <v>91</v>
      </c>
      <c r="C167" s="12" t="s">
        <v>459</v>
      </c>
      <c r="D167" s="12" t="s">
        <v>26</v>
      </c>
      <c r="E167" s="20">
        <f>E168</f>
        <v>245877.99</v>
      </c>
      <c r="F167" s="20">
        <f>F168</f>
        <v>0</v>
      </c>
      <c r="G167" s="20">
        <f>G168</f>
        <v>0</v>
      </c>
      <c r="H167" s="20">
        <f t="shared" si="25"/>
        <v>0</v>
      </c>
      <c r="I167" s="20">
        <f t="shared" si="29"/>
        <v>0</v>
      </c>
      <c r="J167" s="20" t="s">
        <v>559</v>
      </c>
      <c r="L167" s="11"/>
    </row>
    <row r="168" spans="1:12" s="6" customFormat="1" ht="46.8" x14ac:dyDescent="0.25">
      <c r="A168" s="15" t="s">
        <v>435</v>
      </c>
      <c r="B168" s="12" t="s">
        <v>91</v>
      </c>
      <c r="C168" s="12" t="s">
        <v>459</v>
      </c>
      <c r="D168" s="12" t="s">
        <v>125</v>
      </c>
      <c r="E168" s="20">
        <v>245877.99</v>
      </c>
      <c r="F168" s="20">
        <f>245877.99-245877.99</f>
        <v>0</v>
      </c>
      <c r="G168" s="20">
        <f>245877.99-245877.99</f>
        <v>0</v>
      </c>
      <c r="H168" s="20">
        <f t="shared" si="25"/>
        <v>0</v>
      </c>
      <c r="I168" s="20">
        <f t="shared" si="29"/>
        <v>0</v>
      </c>
      <c r="J168" s="20" t="s">
        <v>559</v>
      </c>
      <c r="L168" s="11"/>
    </row>
    <row r="169" spans="1:12" s="6" customFormat="1" ht="15.6" x14ac:dyDescent="0.3">
      <c r="A169" s="35" t="s">
        <v>289</v>
      </c>
      <c r="B169" s="14" t="s">
        <v>290</v>
      </c>
      <c r="C169" s="1" t="s">
        <v>146</v>
      </c>
      <c r="D169" s="39" t="s">
        <v>26</v>
      </c>
      <c r="E169" s="20">
        <f t="shared" ref="E169:G173" si="31">E170</f>
        <v>4016.6</v>
      </c>
      <c r="F169" s="20">
        <f t="shared" si="31"/>
        <v>4016.6</v>
      </c>
      <c r="G169" s="20">
        <f t="shared" si="31"/>
        <v>0</v>
      </c>
      <c r="H169" s="20">
        <f t="shared" si="25"/>
        <v>4016.6</v>
      </c>
      <c r="I169" s="20">
        <f t="shared" si="29"/>
        <v>0</v>
      </c>
      <c r="J169" s="20">
        <f t="shared" ref="J169:J201" si="32">$G169/$F169*100</f>
        <v>0</v>
      </c>
      <c r="L169" s="11"/>
    </row>
    <row r="170" spans="1:12" s="17" customFormat="1" ht="62.4" x14ac:dyDescent="0.3">
      <c r="A170" s="14" t="s">
        <v>364</v>
      </c>
      <c r="B170" s="14" t="s">
        <v>290</v>
      </c>
      <c r="C170" s="26" t="s">
        <v>166</v>
      </c>
      <c r="D170" s="39" t="s">
        <v>26</v>
      </c>
      <c r="E170" s="20">
        <f t="shared" si="31"/>
        <v>4016.6</v>
      </c>
      <c r="F170" s="20">
        <f t="shared" si="31"/>
        <v>4016.6</v>
      </c>
      <c r="G170" s="20">
        <f t="shared" si="31"/>
        <v>0</v>
      </c>
      <c r="H170" s="20">
        <f t="shared" si="25"/>
        <v>4016.6</v>
      </c>
      <c r="I170" s="20">
        <f t="shared" si="29"/>
        <v>0</v>
      </c>
      <c r="J170" s="20">
        <f t="shared" si="32"/>
        <v>0</v>
      </c>
      <c r="L170" s="11"/>
    </row>
    <row r="171" spans="1:12" s="17" customFormat="1" ht="46.8" x14ac:dyDescent="0.3">
      <c r="A171" s="81" t="s">
        <v>365</v>
      </c>
      <c r="B171" s="14" t="s">
        <v>290</v>
      </c>
      <c r="C171" s="26" t="s">
        <v>291</v>
      </c>
      <c r="D171" s="39" t="s">
        <v>26</v>
      </c>
      <c r="E171" s="20">
        <f t="shared" si="31"/>
        <v>4016.6</v>
      </c>
      <c r="F171" s="20">
        <f t="shared" si="31"/>
        <v>4016.6</v>
      </c>
      <c r="G171" s="20">
        <f t="shared" si="31"/>
        <v>0</v>
      </c>
      <c r="H171" s="20">
        <f t="shared" si="25"/>
        <v>4016.6</v>
      </c>
      <c r="I171" s="20">
        <f t="shared" si="29"/>
        <v>0</v>
      </c>
      <c r="J171" s="20">
        <f t="shared" si="32"/>
        <v>0</v>
      </c>
      <c r="L171" s="11"/>
    </row>
    <row r="172" spans="1:12" s="17" customFormat="1" ht="31.2" x14ac:dyDescent="0.3">
      <c r="A172" s="42" t="s">
        <v>292</v>
      </c>
      <c r="B172" s="14" t="s">
        <v>290</v>
      </c>
      <c r="C172" s="26" t="s">
        <v>293</v>
      </c>
      <c r="D172" s="39" t="s">
        <v>26</v>
      </c>
      <c r="E172" s="20">
        <f t="shared" si="31"/>
        <v>4016.6</v>
      </c>
      <c r="F172" s="20">
        <f t="shared" si="31"/>
        <v>4016.6</v>
      </c>
      <c r="G172" s="20">
        <f t="shared" si="31"/>
        <v>0</v>
      </c>
      <c r="H172" s="20">
        <f t="shared" si="25"/>
        <v>4016.6</v>
      </c>
      <c r="I172" s="20">
        <f t="shared" si="29"/>
        <v>0</v>
      </c>
      <c r="J172" s="20">
        <f t="shared" si="32"/>
        <v>0</v>
      </c>
      <c r="L172" s="11"/>
    </row>
    <row r="173" spans="1:12" s="6" customFormat="1" ht="31.2" outlineLevel="5" x14ac:dyDescent="0.25">
      <c r="A173" s="82" t="s">
        <v>294</v>
      </c>
      <c r="B173" s="14" t="s">
        <v>290</v>
      </c>
      <c r="C173" s="43" t="s">
        <v>506</v>
      </c>
      <c r="D173" s="39" t="s">
        <v>26</v>
      </c>
      <c r="E173" s="20">
        <f t="shared" si="31"/>
        <v>4016.6</v>
      </c>
      <c r="F173" s="20">
        <f t="shared" si="31"/>
        <v>4016.6</v>
      </c>
      <c r="G173" s="20">
        <f t="shared" si="31"/>
        <v>0</v>
      </c>
      <c r="H173" s="20">
        <f t="shared" si="25"/>
        <v>4016.6</v>
      </c>
      <c r="I173" s="20">
        <f t="shared" si="29"/>
        <v>0</v>
      </c>
      <c r="J173" s="20">
        <f t="shared" si="32"/>
        <v>0</v>
      </c>
      <c r="L173" s="11"/>
    </row>
    <row r="174" spans="1:12" s="6" customFormat="1" ht="31.2" outlineLevel="5" x14ac:dyDescent="0.25">
      <c r="A174" s="86" t="s">
        <v>117</v>
      </c>
      <c r="B174" s="14" t="s">
        <v>290</v>
      </c>
      <c r="C174" s="43" t="s">
        <v>506</v>
      </c>
      <c r="D174" s="39" t="s">
        <v>118</v>
      </c>
      <c r="E174" s="20">
        <v>4016.6</v>
      </c>
      <c r="F174" s="20">
        <v>4016.6</v>
      </c>
      <c r="G174" s="20">
        <v>0</v>
      </c>
      <c r="H174" s="20">
        <f t="shared" si="25"/>
        <v>4016.6</v>
      </c>
      <c r="I174" s="20">
        <f t="shared" si="29"/>
        <v>0</v>
      </c>
      <c r="J174" s="20">
        <f t="shared" si="32"/>
        <v>0</v>
      </c>
      <c r="L174" s="11"/>
    </row>
    <row r="175" spans="1:12" s="6" customFormat="1" ht="15.6" outlineLevel="5" x14ac:dyDescent="0.25">
      <c r="A175" s="87" t="s">
        <v>135</v>
      </c>
      <c r="B175" s="40" t="s">
        <v>136</v>
      </c>
      <c r="C175" s="34" t="s">
        <v>146</v>
      </c>
      <c r="D175" s="41" t="s">
        <v>26</v>
      </c>
      <c r="E175" s="16">
        <f>E176+E198+E270+E235</f>
        <v>71414481.079999998</v>
      </c>
      <c r="F175" s="16">
        <f>F176+F198+F270+F235</f>
        <v>104228097.78</v>
      </c>
      <c r="G175" s="16">
        <f>G176+G198+G270+G235</f>
        <v>58116119.950000003</v>
      </c>
      <c r="H175" s="16">
        <f t="shared" si="25"/>
        <v>46111977.829999998</v>
      </c>
      <c r="I175" s="16">
        <f t="shared" si="29"/>
        <v>81.38</v>
      </c>
      <c r="J175" s="16">
        <f t="shared" si="32"/>
        <v>55.76</v>
      </c>
      <c r="L175" s="11"/>
    </row>
    <row r="176" spans="1:12" s="6" customFormat="1" ht="15.6" outlineLevel="5" x14ac:dyDescent="0.25">
      <c r="A176" s="14" t="s">
        <v>137</v>
      </c>
      <c r="B176" s="12" t="s">
        <v>138</v>
      </c>
      <c r="C176" s="2" t="s">
        <v>146</v>
      </c>
      <c r="D176" s="12" t="s">
        <v>26</v>
      </c>
      <c r="E176" s="13">
        <f>E177+E191</f>
        <v>11691200.470000001</v>
      </c>
      <c r="F176" s="13">
        <f>F177+F191</f>
        <v>14475358.59</v>
      </c>
      <c r="G176" s="13">
        <f>G177+G191</f>
        <v>12089312.609999999</v>
      </c>
      <c r="H176" s="13">
        <f t="shared" si="25"/>
        <v>2386045.98</v>
      </c>
      <c r="I176" s="13">
        <f t="shared" si="29"/>
        <v>103.41</v>
      </c>
      <c r="J176" s="13">
        <f t="shared" si="32"/>
        <v>83.52</v>
      </c>
      <c r="L176" s="11"/>
    </row>
    <row r="177" spans="1:12" s="6" customFormat="1" ht="62.4" x14ac:dyDescent="0.25">
      <c r="A177" s="71" t="s">
        <v>377</v>
      </c>
      <c r="B177" s="12" t="s">
        <v>138</v>
      </c>
      <c r="C177" s="2" t="s">
        <v>167</v>
      </c>
      <c r="D177" s="12" t="s">
        <v>26</v>
      </c>
      <c r="E177" s="13">
        <f>E178</f>
        <v>7691200.4699999997</v>
      </c>
      <c r="F177" s="13">
        <f>F178</f>
        <v>8138530.8799999999</v>
      </c>
      <c r="G177" s="13">
        <f>G178</f>
        <v>5939709.8399999999</v>
      </c>
      <c r="H177" s="13">
        <f t="shared" si="25"/>
        <v>2198821.04</v>
      </c>
      <c r="I177" s="13">
        <f t="shared" si="29"/>
        <v>77.23</v>
      </c>
      <c r="J177" s="13">
        <f t="shared" si="32"/>
        <v>72.98</v>
      </c>
      <c r="L177" s="11"/>
    </row>
    <row r="178" spans="1:12" s="6" customFormat="1" ht="46.8" x14ac:dyDescent="0.25">
      <c r="A178" s="25" t="s">
        <v>424</v>
      </c>
      <c r="B178" s="12" t="s">
        <v>138</v>
      </c>
      <c r="C178" s="26" t="s">
        <v>175</v>
      </c>
      <c r="D178" s="27" t="s">
        <v>26</v>
      </c>
      <c r="E178" s="20">
        <f>E179+E187</f>
        <v>7691200.4699999997</v>
      </c>
      <c r="F178" s="20">
        <f>F179+F187</f>
        <v>8138530.8799999999</v>
      </c>
      <c r="G178" s="20">
        <f>G179+G187</f>
        <v>5939709.8399999999</v>
      </c>
      <c r="H178" s="20">
        <f t="shared" si="25"/>
        <v>2198821.04</v>
      </c>
      <c r="I178" s="20">
        <f t="shared" si="29"/>
        <v>77.23</v>
      </c>
      <c r="J178" s="20">
        <f t="shared" si="32"/>
        <v>72.98</v>
      </c>
      <c r="L178" s="11"/>
    </row>
    <row r="179" spans="1:12" s="6" customFormat="1" ht="31.2" x14ac:dyDescent="0.25">
      <c r="A179" s="44" t="s">
        <v>425</v>
      </c>
      <c r="B179" s="12" t="s">
        <v>138</v>
      </c>
      <c r="C179" s="26" t="s">
        <v>426</v>
      </c>
      <c r="D179" s="27" t="s">
        <v>26</v>
      </c>
      <c r="E179" s="20">
        <f>E180+E182+E185</f>
        <v>4487200.47</v>
      </c>
      <c r="F179" s="20">
        <f>F180+F182+F185</f>
        <v>4934530.88</v>
      </c>
      <c r="G179" s="20">
        <f>G180+G182+G185</f>
        <v>3272826.11</v>
      </c>
      <c r="H179" s="20">
        <f t="shared" si="25"/>
        <v>1661704.77</v>
      </c>
      <c r="I179" s="20">
        <f t="shared" si="29"/>
        <v>72.94</v>
      </c>
      <c r="J179" s="20">
        <f t="shared" si="32"/>
        <v>66.319999999999993</v>
      </c>
      <c r="L179" s="11"/>
    </row>
    <row r="180" spans="1:12" s="6" customFormat="1" ht="31.2" x14ac:dyDescent="0.25">
      <c r="A180" s="25" t="s">
        <v>190</v>
      </c>
      <c r="B180" s="12" t="s">
        <v>138</v>
      </c>
      <c r="C180" s="25" t="s">
        <v>191</v>
      </c>
      <c r="D180" s="27" t="s">
        <v>26</v>
      </c>
      <c r="E180" s="20">
        <f>E181</f>
        <v>850000</v>
      </c>
      <c r="F180" s="20">
        <f>F181</f>
        <v>197330.41</v>
      </c>
      <c r="G180" s="20">
        <f>G181</f>
        <v>0</v>
      </c>
      <c r="H180" s="20">
        <f t="shared" si="25"/>
        <v>197330.41</v>
      </c>
      <c r="I180" s="20">
        <f t="shared" si="29"/>
        <v>0</v>
      </c>
      <c r="J180" s="20">
        <f t="shared" si="32"/>
        <v>0</v>
      </c>
      <c r="L180" s="11"/>
    </row>
    <row r="181" spans="1:12" s="17" customFormat="1" ht="46.8" x14ac:dyDescent="0.3">
      <c r="A181" s="72" t="s">
        <v>103</v>
      </c>
      <c r="B181" s="12" t="s">
        <v>138</v>
      </c>
      <c r="C181" s="25" t="s">
        <v>191</v>
      </c>
      <c r="D181" s="27" t="s">
        <v>82</v>
      </c>
      <c r="E181" s="13">
        <v>850000</v>
      </c>
      <c r="F181" s="13">
        <v>197330.41</v>
      </c>
      <c r="G181" s="13">
        <v>0</v>
      </c>
      <c r="H181" s="13">
        <f t="shared" si="25"/>
        <v>197330.41</v>
      </c>
      <c r="I181" s="13">
        <f t="shared" si="29"/>
        <v>0</v>
      </c>
      <c r="J181" s="13">
        <f t="shared" si="32"/>
        <v>0</v>
      </c>
      <c r="L181" s="11"/>
    </row>
    <row r="182" spans="1:12" s="6" customFormat="1" ht="46.8" outlineLevel="5" x14ac:dyDescent="0.25">
      <c r="A182" s="25" t="s">
        <v>429</v>
      </c>
      <c r="B182" s="12" t="s">
        <v>138</v>
      </c>
      <c r="C182" s="25" t="s">
        <v>428</v>
      </c>
      <c r="D182" s="27" t="s">
        <v>26</v>
      </c>
      <c r="E182" s="20">
        <f>E183+E184</f>
        <v>2637200.4700000002</v>
      </c>
      <c r="F182" s="20">
        <f>F183+F184</f>
        <v>4637200.47</v>
      </c>
      <c r="G182" s="20">
        <f>G183+G184</f>
        <v>3272826.11</v>
      </c>
      <c r="H182" s="20">
        <f t="shared" si="25"/>
        <v>1364374.36</v>
      </c>
      <c r="I182" s="20">
        <f t="shared" si="29"/>
        <v>124.1</v>
      </c>
      <c r="J182" s="20">
        <f t="shared" si="32"/>
        <v>70.58</v>
      </c>
      <c r="L182" s="11"/>
    </row>
    <row r="183" spans="1:12" s="6" customFormat="1" ht="62.4" outlineLevel="5" x14ac:dyDescent="0.25">
      <c r="A183" s="2" t="s">
        <v>241</v>
      </c>
      <c r="B183" s="12" t="s">
        <v>138</v>
      </c>
      <c r="C183" s="25" t="s">
        <v>428</v>
      </c>
      <c r="D183" s="27" t="s">
        <v>108</v>
      </c>
      <c r="E183" s="20">
        <v>100000</v>
      </c>
      <c r="F183" s="20">
        <f>100000+200000</f>
        <v>300000</v>
      </c>
      <c r="G183" s="20">
        <v>166552.9</v>
      </c>
      <c r="H183" s="20">
        <f t="shared" si="25"/>
        <v>133447.1</v>
      </c>
      <c r="I183" s="20">
        <f t="shared" si="29"/>
        <v>166.55</v>
      </c>
      <c r="J183" s="20">
        <f t="shared" si="32"/>
        <v>55.52</v>
      </c>
      <c r="L183" s="11"/>
    </row>
    <row r="184" spans="1:12" s="6" customFormat="1" ht="46.8" x14ac:dyDescent="0.25">
      <c r="A184" s="74" t="s">
        <v>103</v>
      </c>
      <c r="B184" s="12" t="s">
        <v>138</v>
      </c>
      <c r="C184" s="25" t="s">
        <v>428</v>
      </c>
      <c r="D184" s="27" t="s">
        <v>82</v>
      </c>
      <c r="E184" s="13">
        <v>2537200.4700000002</v>
      </c>
      <c r="F184" s="13">
        <f>2537200.47-200000+2000000</f>
        <v>4337200.47</v>
      </c>
      <c r="G184" s="13">
        <v>3106273.21</v>
      </c>
      <c r="H184" s="13">
        <f t="shared" si="25"/>
        <v>1230927.26</v>
      </c>
      <c r="I184" s="13">
        <f t="shared" si="29"/>
        <v>122.43</v>
      </c>
      <c r="J184" s="13">
        <f t="shared" si="32"/>
        <v>71.62</v>
      </c>
      <c r="L184" s="11"/>
    </row>
    <row r="185" spans="1:12" s="6" customFormat="1" ht="46.8" x14ac:dyDescent="0.25">
      <c r="A185" s="25" t="s">
        <v>508</v>
      </c>
      <c r="B185" s="12" t="s">
        <v>138</v>
      </c>
      <c r="C185" s="89" t="s">
        <v>427</v>
      </c>
      <c r="D185" s="27" t="s">
        <v>26</v>
      </c>
      <c r="E185" s="20">
        <f>E186</f>
        <v>1000000</v>
      </c>
      <c r="F185" s="20">
        <f>F186</f>
        <v>100000</v>
      </c>
      <c r="G185" s="20">
        <f>G186</f>
        <v>0</v>
      </c>
      <c r="H185" s="20">
        <f t="shared" si="25"/>
        <v>100000</v>
      </c>
      <c r="I185" s="20">
        <f t="shared" si="29"/>
        <v>0</v>
      </c>
      <c r="J185" s="20">
        <f t="shared" si="32"/>
        <v>0</v>
      </c>
      <c r="L185" s="11"/>
    </row>
    <row r="186" spans="1:12" s="6" customFormat="1" ht="31.2" x14ac:dyDescent="0.25">
      <c r="A186" s="2" t="s">
        <v>128</v>
      </c>
      <c r="B186" s="12" t="s">
        <v>138</v>
      </c>
      <c r="C186" s="89" t="s">
        <v>427</v>
      </c>
      <c r="D186" s="27" t="s">
        <v>129</v>
      </c>
      <c r="E186" s="20">
        <v>1000000</v>
      </c>
      <c r="F186" s="20">
        <f>1000000-900000</f>
        <v>100000</v>
      </c>
      <c r="G186" s="20">
        <v>0</v>
      </c>
      <c r="H186" s="20">
        <f t="shared" si="25"/>
        <v>100000</v>
      </c>
      <c r="I186" s="20">
        <f t="shared" si="29"/>
        <v>0</v>
      </c>
      <c r="J186" s="20">
        <f t="shared" si="32"/>
        <v>0</v>
      </c>
      <c r="L186" s="11"/>
    </row>
    <row r="187" spans="1:12" s="6" customFormat="1" ht="31.2" x14ac:dyDescent="0.25">
      <c r="A187" s="25" t="s">
        <v>430</v>
      </c>
      <c r="B187" s="12" t="s">
        <v>138</v>
      </c>
      <c r="C187" s="45" t="s">
        <v>431</v>
      </c>
      <c r="D187" s="27" t="s">
        <v>26</v>
      </c>
      <c r="E187" s="20">
        <f>E189</f>
        <v>3204000</v>
      </c>
      <c r="F187" s="20">
        <f>F189</f>
        <v>3204000</v>
      </c>
      <c r="G187" s="20">
        <f>G189</f>
        <v>2666883.73</v>
      </c>
      <c r="H187" s="20">
        <f t="shared" si="25"/>
        <v>537116.27</v>
      </c>
      <c r="I187" s="20">
        <f t="shared" si="29"/>
        <v>83.24</v>
      </c>
      <c r="J187" s="20">
        <f t="shared" si="32"/>
        <v>83.24</v>
      </c>
      <c r="L187" s="11"/>
    </row>
    <row r="188" spans="1:12" s="6" customFormat="1" ht="46.8" x14ac:dyDescent="0.25">
      <c r="A188" s="25" t="s">
        <v>434</v>
      </c>
      <c r="B188" s="12" t="s">
        <v>138</v>
      </c>
      <c r="C188" s="45" t="s">
        <v>432</v>
      </c>
      <c r="D188" s="27" t="s">
        <v>26</v>
      </c>
      <c r="E188" s="20">
        <f t="shared" ref="E188:G189" si="33">E189</f>
        <v>3204000</v>
      </c>
      <c r="F188" s="20">
        <f t="shared" si="33"/>
        <v>3204000</v>
      </c>
      <c r="G188" s="20">
        <f t="shared" si="33"/>
        <v>2666883.73</v>
      </c>
      <c r="H188" s="20">
        <f t="shared" si="25"/>
        <v>537116.27</v>
      </c>
      <c r="I188" s="20">
        <f t="shared" si="29"/>
        <v>83.24</v>
      </c>
      <c r="J188" s="20">
        <f t="shared" si="32"/>
        <v>83.24</v>
      </c>
      <c r="L188" s="11"/>
    </row>
    <row r="189" spans="1:12" s="17" customFormat="1" ht="46.8" x14ac:dyDescent="0.3">
      <c r="A189" s="75" t="s">
        <v>142</v>
      </c>
      <c r="B189" s="12" t="s">
        <v>138</v>
      </c>
      <c r="C189" s="2" t="s">
        <v>433</v>
      </c>
      <c r="D189" s="27" t="s">
        <v>26</v>
      </c>
      <c r="E189" s="20">
        <f t="shared" si="33"/>
        <v>3204000</v>
      </c>
      <c r="F189" s="20">
        <f t="shared" si="33"/>
        <v>3204000</v>
      </c>
      <c r="G189" s="20">
        <f t="shared" si="33"/>
        <v>2666883.73</v>
      </c>
      <c r="H189" s="20">
        <f t="shared" si="25"/>
        <v>537116.27</v>
      </c>
      <c r="I189" s="20">
        <f t="shared" si="29"/>
        <v>83.24</v>
      </c>
      <c r="J189" s="20">
        <f t="shared" si="32"/>
        <v>83.24</v>
      </c>
      <c r="L189" s="11"/>
    </row>
    <row r="190" spans="1:12" s="6" customFormat="1" ht="31.2" x14ac:dyDescent="0.25">
      <c r="A190" s="15" t="s">
        <v>117</v>
      </c>
      <c r="B190" s="12" t="s">
        <v>138</v>
      </c>
      <c r="C190" s="2" t="s">
        <v>433</v>
      </c>
      <c r="D190" s="27" t="s">
        <v>118</v>
      </c>
      <c r="E190" s="20">
        <v>3204000</v>
      </c>
      <c r="F190" s="20">
        <v>3204000</v>
      </c>
      <c r="G190" s="20">
        <v>2666883.73</v>
      </c>
      <c r="H190" s="20">
        <f t="shared" si="25"/>
        <v>537116.27</v>
      </c>
      <c r="I190" s="20">
        <f t="shared" si="29"/>
        <v>83.24</v>
      </c>
      <c r="J190" s="20">
        <f t="shared" si="32"/>
        <v>83.24</v>
      </c>
      <c r="L190" s="11"/>
    </row>
    <row r="191" spans="1:12" s="6" customFormat="1" ht="46.8" x14ac:dyDescent="0.25">
      <c r="A191" s="12" t="s">
        <v>350</v>
      </c>
      <c r="B191" s="14" t="s">
        <v>138</v>
      </c>
      <c r="C191" s="14" t="s">
        <v>147</v>
      </c>
      <c r="D191" s="14" t="s">
        <v>26</v>
      </c>
      <c r="E191" s="20">
        <f t="shared" ref="E191:G192" si="34">E192</f>
        <v>4000000</v>
      </c>
      <c r="F191" s="20">
        <f t="shared" si="34"/>
        <v>6336827.71</v>
      </c>
      <c r="G191" s="20">
        <f t="shared" si="34"/>
        <v>6149602.7699999996</v>
      </c>
      <c r="H191" s="20">
        <f t="shared" si="25"/>
        <v>187224.94</v>
      </c>
      <c r="I191" s="20">
        <f t="shared" si="29"/>
        <v>153.74</v>
      </c>
      <c r="J191" s="20">
        <f t="shared" si="32"/>
        <v>97.05</v>
      </c>
      <c r="L191" s="11"/>
    </row>
    <row r="192" spans="1:12" s="17" customFormat="1" ht="31.2" x14ac:dyDescent="0.3">
      <c r="A192" s="2" t="s">
        <v>348</v>
      </c>
      <c r="B192" s="14" t="s">
        <v>138</v>
      </c>
      <c r="C192" s="14" t="s">
        <v>277</v>
      </c>
      <c r="D192" s="14" t="s">
        <v>26</v>
      </c>
      <c r="E192" s="20">
        <f t="shared" si="34"/>
        <v>4000000</v>
      </c>
      <c r="F192" s="20">
        <f t="shared" si="34"/>
        <v>6336827.71</v>
      </c>
      <c r="G192" s="20">
        <f t="shared" si="34"/>
        <v>6149602.7699999996</v>
      </c>
      <c r="H192" s="20">
        <f t="shared" si="25"/>
        <v>187224.94</v>
      </c>
      <c r="I192" s="20">
        <f t="shared" si="29"/>
        <v>153.74</v>
      </c>
      <c r="J192" s="20">
        <f t="shared" si="32"/>
        <v>97.05</v>
      </c>
      <c r="L192" s="11"/>
    </row>
    <row r="193" spans="1:12" s="17" customFormat="1" ht="15.6" x14ac:dyDescent="0.3">
      <c r="A193" s="2" t="s">
        <v>349</v>
      </c>
      <c r="B193" s="14" t="s">
        <v>138</v>
      </c>
      <c r="C193" s="14" t="s">
        <v>274</v>
      </c>
      <c r="D193" s="14" t="s">
        <v>26</v>
      </c>
      <c r="E193" s="20">
        <f>E194+E196</f>
        <v>4000000</v>
      </c>
      <c r="F193" s="20">
        <f>F194+F196</f>
        <v>6336827.71</v>
      </c>
      <c r="G193" s="20">
        <f>G194+G196</f>
        <v>6149602.7699999996</v>
      </c>
      <c r="H193" s="20">
        <f t="shared" si="25"/>
        <v>187224.94</v>
      </c>
      <c r="I193" s="20">
        <f t="shared" si="29"/>
        <v>153.74</v>
      </c>
      <c r="J193" s="20">
        <f t="shared" si="32"/>
        <v>97.05</v>
      </c>
      <c r="L193" s="11"/>
    </row>
    <row r="194" spans="1:12" s="17" customFormat="1" ht="31.2" x14ac:dyDescent="0.3">
      <c r="A194" s="25" t="s">
        <v>351</v>
      </c>
      <c r="B194" s="12" t="s">
        <v>138</v>
      </c>
      <c r="C194" s="2" t="s">
        <v>214</v>
      </c>
      <c r="D194" s="27" t="s">
        <v>26</v>
      </c>
      <c r="E194" s="20">
        <f>E195</f>
        <v>0</v>
      </c>
      <c r="F194" s="20">
        <f>F195</f>
        <v>190520</v>
      </c>
      <c r="G194" s="20">
        <f>G195</f>
        <v>190520</v>
      </c>
      <c r="H194" s="20">
        <f t="shared" si="25"/>
        <v>0</v>
      </c>
      <c r="I194" s="20" t="s">
        <v>559</v>
      </c>
      <c r="J194" s="20">
        <f t="shared" si="32"/>
        <v>100</v>
      </c>
      <c r="L194" s="11"/>
    </row>
    <row r="195" spans="1:12" s="6" customFormat="1" ht="31.2" x14ac:dyDescent="0.25">
      <c r="A195" s="15" t="s">
        <v>117</v>
      </c>
      <c r="B195" s="12" t="s">
        <v>138</v>
      </c>
      <c r="C195" s="2" t="s">
        <v>214</v>
      </c>
      <c r="D195" s="27" t="s">
        <v>118</v>
      </c>
      <c r="E195" s="20">
        <v>0</v>
      </c>
      <c r="F195" s="20">
        <v>190520</v>
      </c>
      <c r="G195" s="20">
        <v>190520</v>
      </c>
      <c r="H195" s="20">
        <f t="shared" si="25"/>
        <v>0</v>
      </c>
      <c r="I195" s="20" t="s">
        <v>559</v>
      </c>
      <c r="J195" s="20">
        <f t="shared" si="32"/>
        <v>100</v>
      </c>
      <c r="L195" s="11"/>
    </row>
    <row r="196" spans="1:12" s="6" customFormat="1" ht="31.2" x14ac:dyDescent="0.25">
      <c r="A196" s="25" t="s">
        <v>446</v>
      </c>
      <c r="B196" s="12" t="s">
        <v>138</v>
      </c>
      <c r="C196" s="2" t="s">
        <v>218</v>
      </c>
      <c r="D196" s="27" t="s">
        <v>26</v>
      </c>
      <c r="E196" s="20">
        <f>E197</f>
        <v>4000000</v>
      </c>
      <c r="F196" s="20">
        <f>F197</f>
        <v>6146307.71</v>
      </c>
      <c r="G196" s="20">
        <f>G197</f>
        <v>5959082.7699999996</v>
      </c>
      <c r="H196" s="20">
        <f t="shared" si="25"/>
        <v>187224.94</v>
      </c>
      <c r="I196" s="20">
        <f t="shared" ref="I196:I223" si="35">$G196/$E196*100</f>
        <v>148.97999999999999</v>
      </c>
      <c r="J196" s="20">
        <f t="shared" si="32"/>
        <v>96.95</v>
      </c>
      <c r="L196" s="11"/>
    </row>
    <row r="197" spans="1:12" s="6" customFormat="1" ht="31.2" x14ac:dyDescent="0.25">
      <c r="A197" s="15" t="s">
        <v>117</v>
      </c>
      <c r="B197" s="12" t="s">
        <v>138</v>
      </c>
      <c r="C197" s="2" t="s">
        <v>218</v>
      </c>
      <c r="D197" s="27" t="s">
        <v>118</v>
      </c>
      <c r="E197" s="20">
        <v>4000000</v>
      </c>
      <c r="F197" s="20">
        <v>6146307.71</v>
      </c>
      <c r="G197" s="20">
        <v>5959082.7699999996</v>
      </c>
      <c r="H197" s="20">
        <f t="shared" si="25"/>
        <v>187224.94</v>
      </c>
      <c r="I197" s="20">
        <f t="shared" si="35"/>
        <v>148.97999999999999</v>
      </c>
      <c r="J197" s="20">
        <f t="shared" si="32"/>
        <v>96.95</v>
      </c>
      <c r="L197" s="11"/>
    </row>
    <row r="198" spans="1:12" s="6" customFormat="1" ht="15.6" x14ac:dyDescent="0.25">
      <c r="A198" s="15" t="s">
        <v>140</v>
      </c>
      <c r="B198" s="12" t="s">
        <v>141</v>
      </c>
      <c r="C198" s="2" t="s">
        <v>146</v>
      </c>
      <c r="D198" s="27" t="s">
        <v>26</v>
      </c>
      <c r="E198" s="13">
        <f>E199+E221+E228</f>
        <v>35067416.590000004</v>
      </c>
      <c r="F198" s="13">
        <f>F199+F221+F228</f>
        <v>48668369.270000003</v>
      </c>
      <c r="G198" s="13">
        <f>G199+G221+G228</f>
        <v>19781602.23</v>
      </c>
      <c r="H198" s="13">
        <f t="shared" ref="H198:H261" si="36">$F198-$G198</f>
        <v>28886767.039999999</v>
      </c>
      <c r="I198" s="13">
        <f t="shared" si="35"/>
        <v>56.41</v>
      </c>
      <c r="J198" s="13">
        <f t="shared" si="32"/>
        <v>40.65</v>
      </c>
      <c r="L198" s="11"/>
    </row>
    <row r="199" spans="1:12" s="6" customFormat="1" ht="62.4" x14ac:dyDescent="0.25">
      <c r="A199" s="1" t="s">
        <v>377</v>
      </c>
      <c r="B199" s="12" t="s">
        <v>141</v>
      </c>
      <c r="C199" s="2" t="s">
        <v>167</v>
      </c>
      <c r="D199" s="12" t="s">
        <v>26</v>
      </c>
      <c r="E199" s="13">
        <f>E200</f>
        <v>15106113.23</v>
      </c>
      <c r="F199" s="13">
        <f>F200</f>
        <v>15691375.380000001</v>
      </c>
      <c r="G199" s="13">
        <f>G200</f>
        <v>7105753.46</v>
      </c>
      <c r="H199" s="13">
        <f t="shared" si="36"/>
        <v>8585621.9199999999</v>
      </c>
      <c r="I199" s="13">
        <f t="shared" si="35"/>
        <v>47.04</v>
      </c>
      <c r="J199" s="13">
        <f t="shared" si="32"/>
        <v>45.28</v>
      </c>
      <c r="L199" s="11"/>
    </row>
    <row r="200" spans="1:12" s="6" customFormat="1" ht="46.8" x14ac:dyDescent="0.25">
      <c r="A200" s="25" t="s">
        <v>424</v>
      </c>
      <c r="B200" s="12" t="s">
        <v>141</v>
      </c>
      <c r="C200" s="26" t="s">
        <v>175</v>
      </c>
      <c r="D200" s="27" t="s">
        <v>26</v>
      </c>
      <c r="E200" s="20">
        <f>E201+E210+E213+E218</f>
        <v>15106113.23</v>
      </c>
      <c r="F200" s="20">
        <f>F201+F210+F213+F218</f>
        <v>15691375.380000001</v>
      </c>
      <c r="G200" s="20">
        <f>G201+G210+G213+G218</f>
        <v>7105753.46</v>
      </c>
      <c r="H200" s="20">
        <f t="shared" si="36"/>
        <v>8585621.9199999999</v>
      </c>
      <c r="I200" s="20">
        <f t="shared" si="35"/>
        <v>47.04</v>
      </c>
      <c r="J200" s="20">
        <f t="shared" si="32"/>
        <v>45.28</v>
      </c>
      <c r="L200" s="11"/>
    </row>
    <row r="201" spans="1:12" s="6" customFormat="1" ht="46.8" x14ac:dyDescent="0.25">
      <c r="A201" s="25" t="s">
        <v>436</v>
      </c>
      <c r="B201" s="12" t="s">
        <v>141</v>
      </c>
      <c r="C201" s="26" t="s">
        <v>437</v>
      </c>
      <c r="D201" s="27" t="s">
        <v>26</v>
      </c>
      <c r="E201" s="20">
        <f>E202+E204+E206+E208</f>
        <v>10064189.26</v>
      </c>
      <c r="F201" s="20">
        <f>F202+F204+F206+F208</f>
        <v>9300941.3599999994</v>
      </c>
      <c r="G201" s="20">
        <f>G202+G204+G206+G208</f>
        <v>5088469.99</v>
      </c>
      <c r="H201" s="20">
        <f t="shared" si="36"/>
        <v>4212471.37</v>
      </c>
      <c r="I201" s="20">
        <f t="shared" si="35"/>
        <v>50.56</v>
      </c>
      <c r="J201" s="20">
        <f t="shared" si="32"/>
        <v>54.71</v>
      </c>
      <c r="L201" s="11"/>
    </row>
    <row r="202" spans="1:12" s="6" customFormat="1" ht="31.2" x14ac:dyDescent="0.25">
      <c r="A202" s="38" t="s">
        <v>438</v>
      </c>
      <c r="B202" s="14" t="s">
        <v>141</v>
      </c>
      <c r="C202" s="26" t="s">
        <v>439</v>
      </c>
      <c r="D202" s="39" t="s">
        <v>26</v>
      </c>
      <c r="E202" s="13">
        <f>E203</f>
        <v>288213.5</v>
      </c>
      <c r="F202" s="13">
        <f>F203</f>
        <v>0</v>
      </c>
      <c r="G202" s="13">
        <f>G203</f>
        <v>0</v>
      </c>
      <c r="H202" s="13">
        <f t="shared" si="36"/>
        <v>0</v>
      </c>
      <c r="I202" s="13">
        <f t="shared" si="35"/>
        <v>0</v>
      </c>
      <c r="J202" s="13" t="s">
        <v>559</v>
      </c>
      <c r="L202" s="11"/>
    </row>
    <row r="203" spans="1:12" s="6" customFormat="1" ht="31.2" x14ac:dyDescent="0.25">
      <c r="A203" s="85" t="s">
        <v>117</v>
      </c>
      <c r="B203" s="14" t="s">
        <v>141</v>
      </c>
      <c r="C203" s="26" t="s">
        <v>439</v>
      </c>
      <c r="D203" s="39" t="s">
        <v>118</v>
      </c>
      <c r="E203" s="13">
        <f>288213.5</f>
        <v>288213.5</v>
      </c>
      <c r="F203" s="13">
        <f>288213.5-288213.5</f>
        <v>0</v>
      </c>
      <c r="G203" s="13">
        <f>288213.5-288213.5</f>
        <v>0</v>
      </c>
      <c r="H203" s="13">
        <f t="shared" si="36"/>
        <v>0</v>
      </c>
      <c r="I203" s="13">
        <f t="shared" si="35"/>
        <v>0</v>
      </c>
      <c r="J203" s="13" t="s">
        <v>559</v>
      </c>
      <c r="L203" s="11"/>
    </row>
    <row r="204" spans="1:12" s="6" customFormat="1" ht="93.6" x14ac:dyDescent="0.25">
      <c r="A204" s="25" t="s">
        <v>440</v>
      </c>
      <c r="B204" s="14" t="s">
        <v>141</v>
      </c>
      <c r="C204" s="26" t="s">
        <v>184</v>
      </c>
      <c r="D204" s="39" t="s">
        <v>26</v>
      </c>
      <c r="E204" s="20">
        <f>E205</f>
        <v>662932.19999999995</v>
      </c>
      <c r="F204" s="20">
        <f>F205</f>
        <v>0</v>
      </c>
      <c r="G204" s="20">
        <f>G205</f>
        <v>0</v>
      </c>
      <c r="H204" s="20">
        <f t="shared" si="36"/>
        <v>0</v>
      </c>
      <c r="I204" s="20">
        <f t="shared" si="35"/>
        <v>0</v>
      </c>
      <c r="J204" s="20" t="s">
        <v>559</v>
      </c>
      <c r="L204" s="11"/>
    </row>
    <row r="205" spans="1:12" s="6" customFormat="1" ht="46.8" x14ac:dyDescent="0.25">
      <c r="A205" s="15" t="s">
        <v>435</v>
      </c>
      <c r="B205" s="14" t="s">
        <v>141</v>
      </c>
      <c r="C205" s="26" t="s">
        <v>184</v>
      </c>
      <c r="D205" s="39" t="s">
        <v>125</v>
      </c>
      <c r="E205" s="20">
        <f>662932.2</f>
        <v>662932.19999999995</v>
      </c>
      <c r="F205" s="20">
        <f>662932.2-662932.2</f>
        <v>0</v>
      </c>
      <c r="G205" s="20">
        <f>662932.2-662932.2</f>
        <v>0</v>
      </c>
      <c r="H205" s="20">
        <f t="shared" si="36"/>
        <v>0</v>
      </c>
      <c r="I205" s="20">
        <f t="shared" si="35"/>
        <v>0</v>
      </c>
      <c r="J205" s="20" t="s">
        <v>559</v>
      </c>
      <c r="L205" s="11"/>
    </row>
    <row r="206" spans="1:12" s="6" customFormat="1" ht="62.4" x14ac:dyDescent="0.25">
      <c r="A206" s="25" t="s">
        <v>249</v>
      </c>
      <c r="B206" s="12" t="s">
        <v>141</v>
      </c>
      <c r="C206" s="2" t="s">
        <v>250</v>
      </c>
      <c r="D206" s="27" t="s">
        <v>26</v>
      </c>
      <c r="E206" s="20">
        <f>E207</f>
        <v>9021913.1199999992</v>
      </c>
      <c r="F206" s="20">
        <f>F207</f>
        <v>9021913.1199999992</v>
      </c>
      <c r="G206" s="20">
        <f>G207</f>
        <v>4935815.8899999997</v>
      </c>
      <c r="H206" s="20">
        <f t="shared" si="36"/>
        <v>4086097.23</v>
      </c>
      <c r="I206" s="20">
        <f t="shared" si="35"/>
        <v>54.71</v>
      </c>
      <c r="J206" s="20">
        <f t="shared" ref="J206:J237" si="37">$G206/$F206*100</f>
        <v>54.71</v>
      </c>
      <c r="L206" s="11"/>
    </row>
    <row r="207" spans="1:12" s="6" customFormat="1" ht="31.2" x14ac:dyDescent="0.25">
      <c r="A207" s="14" t="s">
        <v>117</v>
      </c>
      <c r="B207" s="12" t="s">
        <v>141</v>
      </c>
      <c r="C207" s="2" t="s">
        <v>250</v>
      </c>
      <c r="D207" s="27" t="s">
        <v>118</v>
      </c>
      <c r="E207" s="20">
        <v>9021913.1199999992</v>
      </c>
      <c r="F207" s="20">
        <v>9021913.1199999992</v>
      </c>
      <c r="G207" s="20">
        <v>4935815.8899999997</v>
      </c>
      <c r="H207" s="20">
        <f t="shared" si="36"/>
        <v>4086097.23</v>
      </c>
      <c r="I207" s="20">
        <f t="shared" si="35"/>
        <v>54.71</v>
      </c>
      <c r="J207" s="20">
        <f t="shared" si="37"/>
        <v>54.71</v>
      </c>
      <c r="L207" s="11"/>
    </row>
    <row r="208" spans="1:12" s="6" customFormat="1" ht="62.4" x14ac:dyDescent="0.25">
      <c r="A208" s="25" t="s">
        <v>251</v>
      </c>
      <c r="B208" s="12" t="s">
        <v>141</v>
      </c>
      <c r="C208" s="2" t="s">
        <v>250</v>
      </c>
      <c r="D208" s="27" t="s">
        <v>26</v>
      </c>
      <c r="E208" s="20">
        <f>E209</f>
        <v>91130.44</v>
      </c>
      <c r="F208" s="20">
        <f>F209</f>
        <v>279028.24</v>
      </c>
      <c r="G208" s="20">
        <f>G209</f>
        <v>152654.1</v>
      </c>
      <c r="H208" s="20">
        <f t="shared" si="36"/>
        <v>126374.14</v>
      </c>
      <c r="I208" s="20">
        <f t="shared" si="35"/>
        <v>167.51</v>
      </c>
      <c r="J208" s="20">
        <f t="shared" si="37"/>
        <v>54.71</v>
      </c>
      <c r="L208" s="11"/>
    </row>
    <row r="209" spans="1:12" s="6" customFormat="1" ht="31.2" x14ac:dyDescent="0.25">
      <c r="A209" s="14" t="s">
        <v>117</v>
      </c>
      <c r="B209" s="12" t="s">
        <v>141</v>
      </c>
      <c r="C209" s="2" t="s">
        <v>250</v>
      </c>
      <c r="D209" s="27" t="s">
        <v>118</v>
      </c>
      <c r="E209" s="20">
        <f>91130.44</f>
        <v>91130.44</v>
      </c>
      <c r="F209" s="20">
        <f>91130.44-18373.08+206270.88</f>
        <v>279028.24</v>
      </c>
      <c r="G209" s="20">
        <v>152654.1</v>
      </c>
      <c r="H209" s="20">
        <f t="shared" si="36"/>
        <v>126374.14</v>
      </c>
      <c r="I209" s="20">
        <f t="shared" si="35"/>
        <v>167.51</v>
      </c>
      <c r="J209" s="20">
        <f t="shared" si="37"/>
        <v>54.71</v>
      </c>
      <c r="L209" s="11"/>
    </row>
    <row r="210" spans="1:12" s="6" customFormat="1" ht="31.2" x14ac:dyDescent="0.25">
      <c r="A210" s="25" t="s">
        <v>425</v>
      </c>
      <c r="B210" s="12" t="s">
        <v>141</v>
      </c>
      <c r="C210" s="26" t="s">
        <v>426</v>
      </c>
      <c r="D210" s="27" t="s">
        <v>26</v>
      </c>
      <c r="E210" s="20">
        <f t="shared" ref="E210:G211" si="38">E211</f>
        <v>2931838</v>
      </c>
      <c r="F210" s="20">
        <f t="shared" si="38"/>
        <v>1131838</v>
      </c>
      <c r="G210" s="20">
        <f t="shared" si="38"/>
        <v>280000</v>
      </c>
      <c r="H210" s="20">
        <f t="shared" si="36"/>
        <v>851838</v>
      </c>
      <c r="I210" s="20">
        <f t="shared" si="35"/>
        <v>9.5500000000000007</v>
      </c>
      <c r="J210" s="20">
        <f t="shared" si="37"/>
        <v>24.74</v>
      </c>
      <c r="L210" s="11"/>
    </row>
    <row r="211" spans="1:12" s="6" customFormat="1" ht="46.8" x14ac:dyDescent="0.25">
      <c r="A211" s="25" t="s">
        <v>507</v>
      </c>
      <c r="B211" s="12" t="s">
        <v>141</v>
      </c>
      <c r="C211" s="25" t="s">
        <v>441</v>
      </c>
      <c r="D211" s="27" t="s">
        <v>26</v>
      </c>
      <c r="E211" s="92">
        <f t="shared" si="38"/>
        <v>2931838</v>
      </c>
      <c r="F211" s="92">
        <f t="shared" si="38"/>
        <v>1131838</v>
      </c>
      <c r="G211" s="92">
        <f t="shared" si="38"/>
        <v>280000</v>
      </c>
      <c r="H211" s="92">
        <f t="shared" si="36"/>
        <v>851838</v>
      </c>
      <c r="I211" s="92">
        <f t="shared" si="35"/>
        <v>9.5500000000000007</v>
      </c>
      <c r="J211" s="92">
        <f t="shared" si="37"/>
        <v>24.74</v>
      </c>
      <c r="L211" s="11"/>
    </row>
    <row r="212" spans="1:12" s="6" customFormat="1" ht="46.8" x14ac:dyDescent="0.25">
      <c r="A212" s="2" t="s">
        <v>103</v>
      </c>
      <c r="B212" s="12" t="s">
        <v>141</v>
      </c>
      <c r="C212" s="25" t="s">
        <v>441</v>
      </c>
      <c r="D212" s="27" t="s">
        <v>82</v>
      </c>
      <c r="E212" s="20">
        <f>2931838</f>
        <v>2931838</v>
      </c>
      <c r="F212" s="20">
        <f>2931838-1800000</f>
        <v>1131838</v>
      </c>
      <c r="G212" s="20">
        <v>280000</v>
      </c>
      <c r="H212" s="20">
        <f t="shared" si="36"/>
        <v>851838</v>
      </c>
      <c r="I212" s="20">
        <f t="shared" si="35"/>
        <v>9.5500000000000007</v>
      </c>
      <c r="J212" s="20">
        <f t="shared" si="37"/>
        <v>24.74</v>
      </c>
      <c r="L212" s="11"/>
    </row>
    <row r="213" spans="1:12" s="6" customFormat="1" ht="31.2" x14ac:dyDescent="0.25">
      <c r="A213" s="1" t="s">
        <v>203</v>
      </c>
      <c r="B213" s="12" t="s">
        <v>141</v>
      </c>
      <c r="C213" s="2" t="s">
        <v>228</v>
      </c>
      <c r="D213" s="27" t="s">
        <v>26</v>
      </c>
      <c r="E213" s="20">
        <f>E214+E216</f>
        <v>1680085.97</v>
      </c>
      <c r="F213" s="20">
        <f>F214+F216</f>
        <v>1760548.02</v>
      </c>
      <c r="G213" s="20">
        <f>G214+G216</f>
        <v>1648079.37</v>
      </c>
      <c r="H213" s="20">
        <f t="shared" si="36"/>
        <v>112468.65</v>
      </c>
      <c r="I213" s="20">
        <f t="shared" si="35"/>
        <v>98.09</v>
      </c>
      <c r="J213" s="20">
        <f t="shared" si="37"/>
        <v>93.61</v>
      </c>
      <c r="L213" s="11"/>
    </row>
    <row r="214" spans="1:12" s="6" customFormat="1" ht="46.8" x14ac:dyDescent="0.25">
      <c r="A214" s="1" t="s">
        <v>204</v>
      </c>
      <c r="B214" s="12" t="s">
        <v>141</v>
      </c>
      <c r="C214" s="26" t="s">
        <v>229</v>
      </c>
      <c r="D214" s="27" t="s">
        <v>26</v>
      </c>
      <c r="E214" s="20">
        <f>E215</f>
        <v>1596081.67</v>
      </c>
      <c r="F214" s="20">
        <f>F215</f>
        <v>1596081.67</v>
      </c>
      <c r="G214" s="20">
        <f>G215</f>
        <v>1595922.14</v>
      </c>
      <c r="H214" s="20">
        <f t="shared" si="36"/>
        <v>159.53</v>
      </c>
      <c r="I214" s="20">
        <f t="shared" si="35"/>
        <v>99.99</v>
      </c>
      <c r="J214" s="20">
        <f t="shared" si="37"/>
        <v>99.99</v>
      </c>
      <c r="L214" s="11"/>
    </row>
    <row r="215" spans="1:12" s="6" customFormat="1" ht="46.8" x14ac:dyDescent="0.25">
      <c r="A215" s="2" t="s">
        <v>103</v>
      </c>
      <c r="B215" s="12" t="s">
        <v>141</v>
      </c>
      <c r="C215" s="26" t="s">
        <v>229</v>
      </c>
      <c r="D215" s="27" t="s">
        <v>82</v>
      </c>
      <c r="E215" s="20">
        <v>1596081.67</v>
      </c>
      <c r="F215" s="20">
        <v>1596081.67</v>
      </c>
      <c r="G215" s="20">
        <v>1595922.14</v>
      </c>
      <c r="H215" s="20">
        <f t="shared" si="36"/>
        <v>159.53</v>
      </c>
      <c r="I215" s="20">
        <f t="shared" si="35"/>
        <v>99.99</v>
      </c>
      <c r="J215" s="20">
        <f t="shared" si="37"/>
        <v>99.99</v>
      </c>
      <c r="L215" s="11"/>
    </row>
    <row r="216" spans="1:12" s="6" customFormat="1" ht="62.4" x14ac:dyDescent="0.25">
      <c r="A216" s="1" t="s">
        <v>207</v>
      </c>
      <c r="B216" s="12" t="s">
        <v>141</v>
      </c>
      <c r="C216" s="26" t="s">
        <v>229</v>
      </c>
      <c r="D216" s="27" t="s">
        <v>26</v>
      </c>
      <c r="E216" s="92">
        <f>E217</f>
        <v>84004.3</v>
      </c>
      <c r="F216" s="92">
        <f>F217</f>
        <v>164466.35</v>
      </c>
      <c r="G216" s="92">
        <v>52157.23</v>
      </c>
      <c r="H216" s="92">
        <f t="shared" si="36"/>
        <v>112309.12</v>
      </c>
      <c r="I216" s="92">
        <f t="shared" si="35"/>
        <v>62.09</v>
      </c>
      <c r="J216" s="92">
        <f t="shared" si="37"/>
        <v>31.71</v>
      </c>
      <c r="L216" s="11"/>
    </row>
    <row r="217" spans="1:12" s="6" customFormat="1" ht="46.8" x14ac:dyDescent="0.25">
      <c r="A217" s="2" t="s">
        <v>103</v>
      </c>
      <c r="B217" s="12" t="s">
        <v>141</v>
      </c>
      <c r="C217" s="26" t="s">
        <v>229</v>
      </c>
      <c r="D217" s="27" t="s">
        <v>82</v>
      </c>
      <c r="E217" s="20">
        <f>84004.3</f>
        <v>84004.3</v>
      </c>
      <c r="F217" s="20">
        <f>84004.3-34640.95+115103</f>
        <v>164466.35</v>
      </c>
      <c r="G217" s="20">
        <f>84004.3-34640.95+115103</f>
        <v>164466.35</v>
      </c>
      <c r="H217" s="20">
        <f t="shared" si="36"/>
        <v>0</v>
      </c>
      <c r="I217" s="20">
        <f t="shared" si="35"/>
        <v>195.78</v>
      </c>
      <c r="J217" s="20">
        <f t="shared" si="37"/>
        <v>100</v>
      </c>
      <c r="L217" s="11"/>
    </row>
    <row r="218" spans="1:12" s="6" customFormat="1" ht="46.8" x14ac:dyDescent="0.25">
      <c r="A218" s="25" t="s">
        <v>443</v>
      </c>
      <c r="B218" s="12" t="s">
        <v>141</v>
      </c>
      <c r="C218" s="26" t="s">
        <v>442</v>
      </c>
      <c r="D218" s="27" t="s">
        <v>26</v>
      </c>
      <c r="E218" s="92">
        <f t="shared" ref="E218:G219" si="39">E219</f>
        <v>430000</v>
      </c>
      <c r="F218" s="92">
        <f t="shared" si="39"/>
        <v>3498048</v>
      </c>
      <c r="G218" s="92">
        <f t="shared" si="39"/>
        <v>89204.1</v>
      </c>
      <c r="H218" s="92">
        <f t="shared" si="36"/>
        <v>3408843.9</v>
      </c>
      <c r="I218" s="92">
        <f t="shared" si="35"/>
        <v>20.75</v>
      </c>
      <c r="J218" s="92">
        <f t="shared" si="37"/>
        <v>2.5499999999999998</v>
      </c>
      <c r="L218" s="11"/>
    </row>
    <row r="219" spans="1:12" s="6" customFormat="1" ht="46.8" x14ac:dyDescent="0.25">
      <c r="A219" s="14" t="s">
        <v>444</v>
      </c>
      <c r="B219" s="12" t="s">
        <v>141</v>
      </c>
      <c r="C219" s="2" t="s">
        <v>445</v>
      </c>
      <c r="D219" s="27" t="s">
        <v>26</v>
      </c>
      <c r="E219" s="20">
        <f t="shared" si="39"/>
        <v>430000</v>
      </c>
      <c r="F219" s="20">
        <f t="shared" si="39"/>
        <v>3498048</v>
      </c>
      <c r="G219" s="20">
        <f t="shared" si="39"/>
        <v>89204.1</v>
      </c>
      <c r="H219" s="20">
        <f t="shared" si="36"/>
        <v>3408843.9</v>
      </c>
      <c r="I219" s="20">
        <f t="shared" si="35"/>
        <v>20.75</v>
      </c>
      <c r="J219" s="20">
        <f t="shared" si="37"/>
        <v>2.5499999999999998</v>
      </c>
      <c r="L219" s="11"/>
    </row>
    <row r="220" spans="1:12" s="6" customFormat="1" ht="31.2" x14ac:dyDescent="0.25">
      <c r="A220" s="15" t="s">
        <v>117</v>
      </c>
      <c r="B220" s="12" t="s">
        <v>141</v>
      </c>
      <c r="C220" s="2" t="s">
        <v>445</v>
      </c>
      <c r="D220" s="27" t="s">
        <v>118</v>
      </c>
      <c r="E220" s="92">
        <f>430000</f>
        <v>430000</v>
      </c>
      <c r="F220" s="92">
        <f>430000+3068048</f>
        <v>3498048</v>
      </c>
      <c r="G220" s="92">
        <v>89204.1</v>
      </c>
      <c r="H220" s="92">
        <f t="shared" si="36"/>
        <v>3408843.9</v>
      </c>
      <c r="I220" s="92">
        <f t="shared" si="35"/>
        <v>20.75</v>
      </c>
      <c r="J220" s="92">
        <f t="shared" si="37"/>
        <v>2.5499999999999998</v>
      </c>
      <c r="L220" s="11"/>
    </row>
    <row r="221" spans="1:12" s="6" customFormat="1" ht="46.8" x14ac:dyDescent="0.25">
      <c r="A221" s="12" t="s">
        <v>350</v>
      </c>
      <c r="B221" s="14" t="s">
        <v>141</v>
      </c>
      <c r="C221" s="14" t="s">
        <v>147</v>
      </c>
      <c r="D221" s="14" t="s">
        <v>26</v>
      </c>
      <c r="E221" s="20">
        <f t="shared" ref="E221:G222" si="40">E222</f>
        <v>12395503.9</v>
      </c>
      <c r="F221" s="20">
        <f t="shared" si="40"/>
        <v>25255198.559999999</v>
      </c>
      <c r="G221" s="20">
        <f t="shared" si="40"/>
        <v>12675848.77</v>
      </c>
      <c r="H221" s="20">
        <f t="shared" si="36"/>
        <v>12579349.789999999</v>
      </c>
      <c r="I221" s="20">
        <f t="shared" si="35"/>
        <v>102.26</v>
      </c>
      <c r="J221" s="20">
        <f t="shared" si="37"/>
        <v>50.19</v>
      </c>
      <c r="L221" s="11"/>
    </row>
    <row r="222" spans="1:12" s="6" customFormat="1" ht="31.2" x14ac:dyDescent="0.25">
      <c r="A222" s="2" t="s">
        <v>348</v>
      </c>
      <c r="B222" s="14" t="s">
        <v>141</v>
      </c>
      <c r="C222" s="14" t="s">
        <v>277</v>
      </c>
      <c r="D222" s="14" t="s">
        <v>26</v>
      </c>
      <c r="E222" s="92">
        <f t="shared" si="40"/>
        <v>12395503.9</v>
      </c>
      <c r="F222" s="92">
        <f t="shared" si="40"/>
        <v>25255198.559999999</v>
      </c>
      <c r="G222" s="92">
        <f t="shared" si="40"/>
        <v>12675848.77</v>
      </c>
      <c r="H222" s="92">
        <f t="shared" si="36"/>
        <v>12579349.789999999</v>
      </c>
      <c r="I222" s="92">
        <f t="shared" si="35"/>
        <v>102.26</v>
      </c>
      <c r="J222" s="92">
        <f t="shared" si="37"/>
        <v>50.19</v>
      </c>
      <c r="L222" s="11"/>
    </row>
    <row r="223" spans="1:12" s="6" customFormat="1" ht="15.6" x14ac:dyDescent="0.25">
      <c r="A223" s="2" t="s">
        <v>349</v>
      </c>
      <c r="B223" s="14" t="s">
        <v>141</v>
      </c>
      <c r="C223" s="14" t="s">
        <v>274</v>
      </c>
      <c r="D223" s="14" t="s">
        <v>26</v>
      </c>
      <c r="E223" s="20">
        <f>E226+E224</f>
        <v>12395503.9</v>
      </c>
      <c r="F223" s="20">
        <f>F226+F224</f>
        <v>25255198.559999999</v>
      </c>
      <c r="G223" s="20">
        <f>G226+G224</f>
        <v>12675848.77</v>
      </c>
      <c r="H223" s="20">
        <f t="shared" si="36"/>
        <v>12579349.789999999</v>
      </c>
      <c r="I223" s="20">
        <f t="shared" si="35"/>
        <v>102.26</v>
      </c>
      <c r="J223" s="20">
        <f t="shared" si="37"/>
        <v>50.19</v>
      </c>
      <c r="L223" s="11"/>
    </row>
    <row r="224" spans="1:12" s="6" customFormat="1" ht="31.2" x14ac:dyDescent="0.25">
      <c r="A224" s="25" t="s">
        <v>351</v>
      </c>
      <c r="B224" s="12" t="s">
        <v>141</v>
      </c>
      <c r="C224" s="2" t="s">
        <v>214</v>
      </c>
      <c r="D224" s="27" t="s">
        <v>26</v>
      </c>
      <c r="E224" s="20">
        <f>E225</f>
        <v>0</v>
      </c>
      <c r="F224" s="20">
        <f>F225</f>
        <v>8229071.5499999998</v>
      </c>
      <c r="G224" s="20">
        <f>G225</f>
        <v>8229071.5499999998</v>
      </c>
      <c r="H224" s="20">
        <f t="shared" si="36"/>
        <v>0</v>
      </c>
      <c r="I224" s="20" t="s">
        <v>559</v>
      </c>
      <c r="J224" s="20">
        <f t="shared" si="37"/>
        <v>100</v>
      </c>
      <c r="L224" s="11"/>
    </row>
    <row r="225" spans="1:12" s="6" customFormat="1" ht="31.2" x14ac:dyDescent="0.25">
      <c r="A225" s="15" t="s">
        <v>117</v>
      </c>
      <c r="B225" s="12" t="s">
        <v>141</v>
      </c>
      <c r="C225" s="2" t="s">
        <v>214</v>
      </c>
      <c r="D225" s="27" t="s">
        <v>118</v>
      </c>
      <c r="E225" s="20">
        <f>0</f>
        <v>0</v>
      </c>
      <c r="F225" s="20">
        <v>8229071.5499999998</v>
      </c>
      <c r="G225" s="20">
        <v>8229071.5499999998</v>
      </c>
      <c r="H225" s="20">
        <f t="shared" si="36"/>
        <v>0</v>
      </c>
      <c r="I225" s="20" t="s">
        <v>559</v>
      </c>
      <c r="J225" s="20">
        <f t="shared" si="37"/>
        <v>100</v>
      </c>
      <c r="L225" s="11"/>
    </row>
    <row r="226" spans="1:12" s="6" customFormat="1" ht="31.2" x14ac:dyDescent="0.25">
      <c r="A226" s="25" t="s">
        <v>447</v>
      </c>
      <c r="B226" s="12" t="s">
        <v>141</v>
      </c>
      <c r="C226" s="2" t="s">
        <v>218</v>
      </c>
      <c r="D226" s="27" t="s">
        <v>26</v>
      </c>
      <c r="E226" s="20">
        <f>E227</f>
        <v>12395503.9</v>
      </c>
      <c r="F226" s="20">
        <f>F227</f>
        <v>17026127.010000002</v>
      </c>
      <c r="G226" s="20">
        <f>G227</f>
        <v>4446777.22</v>
      </c>
      <c r="H226" s="20">
        <f t="shared" si="36"/>
        <v>12579349.789999999</v>
      </c>
      <c r="I226" s="20">
        <f t="shared" ref="I226:I242" si="41">$G226/$E226*100</f>
        <v>35.869999999999997</v>
      </c>
      <c r="J226" s="20">
        <f t="shared" si="37"/>
        <v>26.12</v>
      </c>
      <c r="L226" s="11"/>
    </row>
    <row r="227" spans="1:12" s="6" customFormat="1" ht="31.2" x14ac:dyDescent="0.25">
      <c r="A227" s="15" t="s">
        <v>117</v>
      </c>
      <c r="B227" s="12" t="s">
        <v>141</v>
      </c>
      <c r="C227" s="2" t="s">
        <v>218</v>
      </c>
      <c r="D227" s="27" t="s">
        <v>118</v>
      </c>
      <c r="E227" s="20">
        <f>12395503.9</f>
        <v>12395503.9</v>
      </c>
      <c r="F227" s="20">
        <f>12395503.9+2350000+637046+1271788+371789.11</f>
        <v>17026127.010000002</v>
      </c>
      <c r="G227" s="20">
        <v>4446777.22</v>
      </c>
      <c r="H227" s="20">
        <f t="shared" si="36"/>
        <v>12579349.789999999</v>
      </c>
      <c r="I227" s="20">
        <f t="shared" si="41"/>
        <v>35.869999999999997</v>
      </c>
      <c r="J227" s="20">
        <f t="shared" si="37"/>
        <v>26.12</v>
      </c>
      <c r="L227" s="11"/>
    </row>
    <row r="228" spans="1:12" s="6" customFormat="1" ht="46.8" x14ac:dyDescent="0.25">
      <c r="A228" s="14" t="s">
        <v>452</v>
      </c>
      <c r="B228" s="12" t="s">
        <v>141</v>
      </c>
      <c r="C228" s="2" t="s">
        <v>164</v>
      </c>
      <c r="D228" s="27" t="s">
        <v>26</v>
      </c>
      <c r="E228" s="13">
        <f t="shared" ref="E228:G229" si="42">E229</f>
        <v>7565799.46</v>
      </c>
      <c r="F228" s="13">
        <f t="shared" si="42"/>
        <v>7721795.3300000001</v>
      </c>
      <c r="G228" s="13">
        <f t="shared" si="42"/>
        <v>0</v>
      </c>
      <c r="H228" s="13">
        <f t="shared" si="36"/>
        <v>7721795.3300000001</v>
      </c>
      <c r="I228" s="13">
        <f t="shared" si="41"/>
        <v>0</v>
      </c>
      <c r="J228" s="13">
        <f t="shared" si="37"/>
        <v>0</v>
      </c>
      <c r="L228" s="11"/>
    </row>
    <row r="229" spans="1:12" s="6" customFormat="1" ht="46.8" x14ac:dyDescent="0.25">
      <c r="A229" s="14" t="s">
        <v>453</v>
      </c>
      <c r="B229" s="12" t="s">
        <v>141</v>
      </c>
      <c r="C229" s="26" t="s">
        <v>165</v>
      </c>
      <c r="D229" s="27" t="s">
        <v>26</v>
      </c>
      <c r="E229" s="13">
        <f t="shared" si="42"/>
        <v>7565799.46</v>
      </c>
      <c r="F229" s="13">
        <f t="shared" si="42"/>
        <v>7721795.3300000001</v>
      </c>
      <c r="G229" s="13">
        <f t="shared" si="42"/>
        <v>0</v>
      </c>
      <c r="H229" s="13">
        <f t="shared" si="36"/>
        <v>7721795.3300000001</v>
      </c>
      <c r="I229" s="13">
        <f t="shared" si="41"/>
        <v>0</v>
      </c>
      <c r="J229" s="13">
        <f t="shared" si="37"/>
        <v>0</v>
      </c>
      <c r="L229" s="11"/>
    </row>
    <row r="230" spans="1:12" s="17" customFormat="1" ht="31.2" x14ac:dyDescent="0.3">
      <c r="A230" s="14" t="s">
        <v>471</v>
      </c>
      <c r="B230" s="12" t="s">
        <v>141</v>
      </c>
      <c r="C230" s="26" t="s">
        <v>232</v>
      </c>
      <c r="D230" s="27" t="s">
        <v>26</v>
      </c>
      <c r="E230" s="13">
        <f>E233+E231</f>
        <v>7565799.46</v>
      </c>
      <c r="F230" s="13">
        <f>F233+F231</f>
        <v>7721795.3300000001</v>
      </c>
      <c r="G230" s="13">
        <f>G233+G231</f>
        <v>0</v>
      </c>
      <c r="H230" s="13">
        <f t="shared" si="36"/>
        <v>7721795.3300000001</v>
      </c>
      <c r="I230" s="13">
        <f t="shared" si="41"/>
        <v>0</v>
      </c>
      <c r="J230" s="13">
        <f t="shared" si="37"/>
        <v>0</v>
      </c>
      <c r="L230" s="11"/>
    </row>
    <row r="231" spans="1:12" s="17" customFormat="1" ht="46.8" x14ac:dyDescent="0.3">
      <c r="A231" s="1" t="s">
        <v>258</v>
      </c>
      <c r="B231" s="12" t="s">
        <v>141</v>
      </c>
      <c r="C231" s="14" t="s">
        <v>234</v>
      </c>
      <c r="D231" s="27" t="s">
        <v>26</v>
      </c>
      <c r="E231" s="20">
        <f>E232</f>
        <v>7490141.4699999997</v>
      </c>
      <c r="F231" s="20">
        <f>F232</f>
        <v>7490141.4699999997</v>
      </c>
      <c r="G231" s="20">
        <f>G232</f>
        <v>0</v>
      </c>
      <c r="H231" s="20">
        <f t="shared" si="36"/>
        <v>7490141.4699999997</v>
      </c>
      <c r="I231" s="20">
        <f t="shared" si="41"/>
        <v>0</v>
      </c>
      <c r="J231" s="20">
        <f t="shared" si="37"/>
        <v>0</v>
      </c>
      <c r="L231" s="11"/>
    </row>
    <row r="232" spans="1:12" s="17" customFormat="1" ht="31.2" x14ac:dyDescent="0.3">
      <c r="A232" s="15" t="s">
        <v>117</v>
      </c>
      <c r="B232" s="12" t="s">
        <v>141</v>
      </c>
      <c r="C232" s="14" t="s">
        <v>234</v>
      </c>
      <c r="D232" s="27" t="s">
        <v>118</v>
      </c>
      <c r="E232" s="20">
        <v>7490141.4699999997</v>
      </c>
      <c r="F232" s="20">
        <v>7490141.4699999997</v>
      </c>
      <c r="G232" s="20">
        <v>0</v>
      </c>
      <c r="H232" s="20">
        <f t="shared" si="36"/>
        <v>7490141.4699999997</v>
      </c>
      <c r="I232" s="20">
        <f t="shared" si="41"/>
        <v>0</v>
      </c>
      <c r="J232" s="20">
        <f t="shared" si="37"/>
        <v>0</v>
      </c>
      <c r="L232" s="11"/>
    </row>
    <row r="233" spans="1:12" s="6" customFormat="1" ht="46.8" x14ac:dyDescent="0.25">
      <c r="A233" s="1" t="s">
        <v>259</v>
      </c>
      <c r="B233" s="12" t="s">
        <v>141</v>
      </c>
      <c r="C233" s="26" t="s">
        <v>234</v>
      </c>
      <c r="D233" s="27" t="s">
        <v>26</v>
      </c>
      <c r="E233" s="20">
        <f>E234</f>
        <v>75657.990000000005</v>
      </c>
      <c r="F233" s="20">
        <f>F234</f>
        <v>231653.86</v>
      </c>
      <c r="G233" s="20">
        <f>G234</f>
        <v>0</v>
      </c>
      <c r="H233" s="20">
        <f t="shared" si="36"/>
        <v>231653.86</v>
      </c>
      <c r="I233" s="20">
        <f t="shared" si="41"/>
        <v>0</v>
      </c>
      <c r="J233" s="20">
        <f t="shared" si="37"/>
        <v>0</v>
      </c>
      <c r="L233" s="11"/>
    </row>
    <row r="234" spans="1:12" s="6" customFormat="1" ht="31.2" x14ac:dyDescent="0.25">
      <c r="A234" s="15" t="s">
        <v>117</v>
      </c>
      <c r="B234" s="12" t="s">
        <v>141</v>
      </c>
      <c r="C234" s="26" t="s">
        <v>234</v>
      </c>
      <c r="D234" s="27" t="s">
        <v>118</v>
      </c>
      <c r="E234" s="20">
        <f>75657.99</f>
        <v>75657.990000000005</v>
      </c>
      <c r="F234" s="20">
        <f>75657.99+155995.87</f>
        <v>231653.86</v>
      </c>
      <c r="G234" s="20">
        <v>0</v>
      </c>
      <c r="H234" s="20">
        <f t="shared" si="36"/>
        <v>231653.86</v>
      </c>
      <c r="I234" s="20">
        <f t="shared" si="41"/>
        <v>0</v>
      </c>
      <c r="J234" s="20">
        <f t="shared" si="37"/>
        <v>0</v>
      </c>
      <c r="L234" s="11"/>
    </row>
    <row r="235" spans="1:12" s="6" customFormat="1" ht="15.6" x14ac:dyDescent="0.25">
      <c r="A235" s="15" t="s">
        <v>177</v>
      </c>
      <c r="B235" s="12" t="s">
        <v>178</v>
      </c>
      <c r="C235" s="2" t="s">
        <v>146</v>
      </c>
      <c r="D235" s="27" t="s">
        <v>26</v>
      </c>
      <c r="E235" s="13">
        <f>E236+E252+E259</f>
        <v>24650697.82</v>
      </c>
      <c r="F235" s="13">
        <f>F236+F252+F259</f>
        <v>41079203.719999999</v>
      </c>
      <c r="G235" s="13">
        <f>G236+G252+G259</f>
        <v>26242191.469999999</v>
      </c>
      <c r="H235" s="13">
        <f t="shared" si="36"/>
        <v>14837012.25</v>
      </c>
      <c r="I235" s="13">
        <f t="shared" si="41"/>
        <v>106.46</v>
      </c>
      <c r="J235" s="13">
        <f t="shared" si="37"/>
        <v>63.88</v>
      </c>
      <c r="L235" s="11"/>
    </row>
    <row r="236" spans="1:12" s="6" customFormat="1" ht="46.8" x14ac:dyDescent="0.25">
      <c r="A236" s="1" t="s">
        <v>493</v>
      </c>
      <c r="B236" s="12" t="s">
        <v>178</v>
      </c>
      <c r="C236" s="2" t="s">
        <v>235</v>
      </c>
      <c r="D236" s="27" t="s">
        <v>26</v>
      </c>
      <c r="E236" s="20">
        <f>E237</f>
        <v>14497456.58</v>
      </c>
      <c r="F236" s="20">
        <f>F237</f>
        <v>20375219.690000001</v>
      </c>
      <c r="G236" s="20">
        <f>G237</f>
        <v>15418400.42</v>
      </c>
      <c r="H236" s="20">
        <f t="shared" si="36"/>
        <v>4956819.2699999996</v>
      </c>
      <c r="I236" s="20">
        <f t="shared" si="41"/>
        <v>106.35</v>
      </c>
      <c r="J236" s="20">
        <f t="shared" si="37"/>
        <v>75.67</v>
      </c>
      <c r="L236" s="11"/>
    </row>
    <row r="237" spans="1:12" s="6" customFormat="1" ht="46.8" x14ac:dyDescent="0.25">
      <c r="A237" s="1" t="s">
        <v>494</v>
      </c>
      <c r="B237" s="12" t="s">
        <v>178</v>
      </c>
      <c r="C237" s="2" t="s">
        <v>449</v>
      </c>
      <c r="D237" s="27" t="s">
        <v>26</v>
      </c>
      <c r="E237" s="20">
        <f>E238+E243</f>
        <v>14497456.58</v>
      </c>
      <c r="F237" s="20">
        <f>F238+F243</f>
        <v>20375219.690000001</v>
      </c>
      <c r="G237" s="20">
        <f>G238+G243</f>
        <v>15418400.42</v>
      </c>
      <c r="H237" s="20">
        <f t="shared" si="36"/>
        <v>4956819.2699999996</v>
      </c>
      <c r="I237" s="20">
        <f t="shared" si="41"/>
        <v>106.35</v>
      </c>
      <c r="J237" s="20">
        <f t="shared" si="37"/>
        <v>75.67</v>
      </c>
      <c r="L237" s="11"/>
    </row>
    <row r="238" spans="1:12" s="6" customFormat="1" ht="46.8" x14ac:dyDescent="0.25">
      <c r="A238" s="1" t="s">
        <v>495</v>
      </c>
      <c r="B238" s="12" t="s">
        <v>178</v>
      </c>
      <c r="C238" s="2" t="s">
        <v>450</v>
      </c>
      <c r="D238" s="27" t="s">
        <v>26</v>
      </c>
      <c r="E238" s="20">
        <f>E239+E241</f>
        <v>14497456.58</v>
      </c>
      <c r="F238" s="20">
        <f>F239+F241</f>
        <v>14344916.65</v>
      </c>
      <c r="G238" s="20">
        <f>G239+G241</f>
        <v>13146885.27</v>
      </c>
      <c r="H238" s="20">
        <f t="shared" si="36"/>
        <v>1198031.3799999999</v>
      </c>
      <c r="I238" s="20">
        <f t="shared" si="41"/>
        <v>90.68</v>
      </c>
      <c r="J238" s="20">
        <f t="shared" ref="J238:J269" si="43">$G238/$F238*100</f>
        <v>91.65</v>
      </c>
      <c r="L238" s="11"/>
    </row>
    <row r="239" spans="1:12" s="6" customFormat="1" ht="62.4" x14ac:dyDescent="0.25">
      <c r="A239" s="15" t="s">
        <v>266</v>
      </c>
      <c r="B239" s="12" t="s">
        <v>178</v>
      </c>
      <c r="C239" s="2" t="s">
        <v>451</v>
      </c>
      <c r="D239" s="27" t="s">
        <v>26</v>
      </c>
      <c r="E239" s="20">
        <f>E240</f>
        <v>13772583.75</v>
      </c>
      <c r="F239" s="20">
        <f>F240</f>
        <v>13914569.15</v>
      </c>
      <c r="G239" s="20">
        <f>G240</f>
        <v>12752478.710000001</v>
      </c>
      <c r="H239" s="20">
        <f t="shared" si="36"/>
        <v>1162090.44</v>
      </c>
      <c r="I239" s="20">
        <f t="shared" si="41"/>
        <v>92.59</v>
      </c>
      <c r="J239" s="20">
        <f t="shared" si="43"/>
        <v>91.65</v>
      </c>
      <c r="L239" s="11"/>
    </row>
    <row r="240" spans="1:12" s="6" customFormat="1" ht="31.2" x14ac:dyDescent="0.25">
      <c r="A240" s="15" t="s">
        <v>117</v>
      </c>
      <c r="B240" s="12" t="s">
        <v>178</v>
      </c>
      <c r="C240" s="2" t="s">
        <v>451</v>
      </c>
      <c r="D240" s="27" t="s">
        <v>118</v>
      </c>
      <c r="E240" s="90">
        <f>13772583.75</f>
        <v>13772583.75</v>
      </c>
      <c r="F240" s="90">
        <f>13772583.75+141985.4</f>
        <v>13914569.15</v>
      </c>
      <c r="G240" s="90">
        <v>12752478.710000001</v>
      </c>
      <c r="H240" s="90">
        <f t="shared" si="36"/>
        <v>1162090.44</v>
      </c>
      <c r="I240" s="90">
        <f t="shared" si="41"/>
        <v>92.59</v>
      </c>
      <c r="J240" s="90">
        <f t="shared" si="43"/>
        <v>91.65</v>
      </c>
      <c r="L240" s="11"/>
    </row>
    <row r="241" spans="1:12" s="6" customFormat="1" ht="62.4" x14ac:dyDescent="0.25">
      <c r="A241" s="15" t="s">
        <v>267</v>
      </c>
      <c r="B241" s="12" t="s">
        <v>178</v>
      </c>
      <c r="C241" s="2" t="s">
        <v>451</v>
      </c>
      <c r="D241" s="27" t="s">
        <v>26</v>
      </c>
      <c r="E241" s="20">
        <f>E242</f>
        <v>724872.83</v>
      </c>
      <c r="F241" s="20">
        <f>F242</f>
        <v>430347.5</v>
      </c>
      <c r="G241" s="20">
        <f>G242</f>
        <v>394406.56</v>
      </c>
      <c r="H241" s="20">
        <f t="shared" si="36"/>
        <v>35940.94</v>
      </c>
      <c r="I241" s="20">
        <f t="shared" si="41"/>
        <v>54.41</v>
      </c>
      <c r="J241" s="20">
        <f t="shared" si="43"/>
        <v>91.65</v>
      </c>
      <c r="L241" s="11"/>
    </row>
    <row r="242" spans="1:12" s="6" customFormat="1" ht="31.2" x14ac:dyDescent="0.25">
      <c r="A242" s="15" t="s">
        <v>117</v>
      </c>
      <c r="B242" s="12" t="s">
        <v>178</v>
      </c>
      <c r="C242" s="2" t="s">
        <v>451</v>
      </c>
      <c r="D242" s="27" t="s">
        <v>118</v>
      </c>
      <c r="E242" s="20">
        <f>724872.83</f>
        <v>724872.83</v>
      </c>
      <c r="F242" s="20">
        <f>724872.83-294525.33</f>
        <v>430347.5</v>
      </c>
      <c r="G242" s="20">
        <v>394406.56</v>
      </c>
      <c r="H242" s="20">
        <f t="shared" si="36"/>
        <v>35940.94</v>
      </c>
      <c r="I242" s="20">
        <f t="shared" si="41"/>
        <v>54.41</v>
      </c>
      <c r="J242" s="20">
        <f t="shared" si="43"/>
        <v>91.65</v>
      </c>
      <c r="L242" s="11"/>
    </row>
    <row r="243" spans="1:12" s="6" customFormat="1" ht="46.8" x14ac:dyDescent="0.25">
      <c r="A243" s="1" t="s">
        <v>521</v>
      </c>
      <c r="B243" s="12" t="s">
        <v>178</v>
      </c>
      <c r="C243" s="2" t="s">
        <v>520</v>
      </c>
      <c r="D243" s="27" t="s">
        <v>26</v>
      </c>
      <c r="E243" s="20">
        <f>E244+E246+E248+E250</f>
        <v>0</v>
      </c>
      <c r="F243" s="20">
        <f>F244+F246+F248+F250</f>
        <v>6030303.04</v>
      </c>
      <c r="G243" s="20">
        <f>G244+G246+G248+G250</f>
        <v>2271515.15</v>
      </c>
      <c r="H243" s="20">
        <f t="shared" si="36"/>
        <v>3758787.89</v>
      </c>
      <c r="I243" s="20" t="s">
        <v>559</v>
      </c>
      <c r="J243" s="20">
        <f t="shared" si="43"/>
        <v>37.67</v>
      </c>
      <c r="L243" s="11"/>
    </row>
    <row r="244" spans="1:12" s="6" customFormat="1" ht="62.4" x14ac:dyDescent="0.25">
      <c r="A244" s="15" t="s">
        <v>522</v>
      </c>
      <c r="B244" s="12" t="s">
        <v>178</v>
      </c>
      <c r="C244" s="2" t="s">
        <v>523</v>
      </c>
      <c r="D244" s="27" t="s">
        <v>26</v>
      </c>
      <c r="E244" s="20">
        <f>E245</f>
        <v>0</v>
      </c>
      <c r="F244" s="20">
        <f>F245</f>
        <v>2970000</v>
      </c>
      <c r="G244" s="20">
        <f>G245</f>
        <v>2227500</v>
      </c>
      <c r="H244" s="20">
        <f t="shared" si="36"/>
        <v>742500</v>
      </c>
      <c r="I244" s="20" t="s">
        <v>559</v>
      </c>
      <c r="J244" s="20">
        <f t="shared" si="43"/>
        <v>75</v>
      </c>
      <c r="L244" s="11"/>
    </row>
    <row r="245" spans="1:12" s="6" customFormat="1" ht="31.2" x14ac:dyDescent="0.25">
      <c r="A245" s="15" t="s">
        <v>117</v>
      </c>
      <c r="B245" s="12" t="s">
        <v>178</v>
      </c>
      <c r="C245" s="2" t="s">
        <v>523</v>
      </c>
      <c r="D245" s="27" t="s">
        <v>118</v>
      </c>
      <c r="E245" s="90">
        <v>0</v>
      </c>
      <c r="F245" s="90">
        <v>2970000</v>
      </c>
      <c r="G245" s="90">
        <v>2227500</v>
      </c>
      <c r="H245" s="90">
        <f t="shared" si="36"/>
        <v>742500</v>
      </c>
      <c r="I245" s="90" t="s">
        <v>559</v>
      </c>
      <c r="J245" s="90">
        <f t="shared" si="43"/>
        <v>75</v>
      </c>
      <c r="L245" s="11"/>
    </row>
    <row r="246" spans="1:12" s="6" customFormat="1" ht="78" x14ac:dyDescent="0.25">
      <c r="A246" s="15" t="s">
        <v>524</v>
      </c>
      <c r="B246" s="12" t="s">
        <v>178</v>
      </c>
      <c r="C246" s="2" t="s">
        <v>523</v>
      </c>
      <c r="D246" s="27" t="s">
        <v>26</v>
      </c>
      <c r="E246" s="92">
        <f>E247</f>
        <v>0</v>
      </c>
      <c r="F246" s="92">
        <f>F247</f>
        <v>30000</v>
      </c>
      <c r="G246" s="92">
        <f>G247</f>
        <v>22500</v>
      </c>
      <c r="H246" s="92">
        <f t="shared" si="36"/>
        <v>7500</v>
      </c>
      <c r="I246" s="92" t="s">
        <v>559</v>
      </c>
      <c r="J246" s="92">
        <f t="shared" si="43"/>
        <v>75</v>
      </c>
      <c r="L246" s="11"/>
    </row>
    <row r="247" spans="1:12" s="17" customFormat="1" ht="31.2" x14ac:dyDescent="0.3">
      <c r="A247" s="15" t="s">
        <v>117</v>
      </c>
      <c r="B247" s="12" t="s">
        <v>178</v>
      </c>
      <c r="C247" s="2" t="s">
        <v>523</v>
      </c>
      <c r="D247" s="27" t="s">
        <v>118</v>
      </c>
      <c r="E247" s="90">
        <v>0</v>
      </c>
      <c r="F247" s="90">
        <v>30000</v>
      </c>
      <c r="G247" s="90">
        <v>22500</v>
      </c>
      <c r="H247" s="90">
        <f t="shared" si="36"/>
        <v>7500</v>
      </c>
      <c r="I247" s="90" t="s">
        <v>559</v>
      </c>
      <c r="J247" s="90">
        <f t="shared" si="43"/>
        <v>75</v>
      </c>
      <c r="L247" s="11"/>
    </row>
    <row r="248" spans="1:12" s="17" customFormat="1" ht="62.4" x14ac:dyDescent="0.3">
      <c r="A248" s="15" t="s">
        <v>526</v>
      </c>
      <c r="B248" s="12" t="s">
        <v>178</v>
      </c>
      <c r="C248" s="2" t="s">
        <v>525</v>
      </c>
      <c r="D248" s="27" t="s">
        <v>26</v>
      </c>
      <c r="E248" s="20">
        <f>E249</f>
        <v>0</v>
      </c>
      <c r="F248" s="20">
        <f>F249</f>
        <v>3000000</v>
      </c>
      <c r="G248" s="20">
        <f>G249</f>
        <v>0</v>
      </c>
      <c r="H248" s="20">
        <f t="shared" si="36"/>
        <v>3000000</v>
      </c>
      <c r="I248" s="20" t="s">
        <v>559</v>
      </c>
      <c r="J248" s="20">
        <f t="shared" si="43"/>
        <v>0</v>
      </c>
      <c r="L248" s="11"/>
    </row>
    <row r="249" spans="1:12" s="6" customFormat="1" ht="31.2" x14ac:dyDescent="0.25">
      <c r="A249" s="15" t="s">
        <v>117</v>
      </c>
      <c r="B249" s="12" t="s">
        <v>178</v>
      </c>
      <c r="C249" s="2" t="s">
        <v>525</v>
      </c>
      <c r="D249" s="27" t="s">
        <v>118</v>
      </c>
      <c r="E249" s="90">
        <v>0</v>
      </c>
      <c r="F249" s="90">
        <v>3000000</v>
      </c>
      <c r="G249" s="90">
        <v>0</v>
      </c>
      <c r="H249" s="90">
        <f t="shared" si="36"/>
        <v>3000000</v>
      </c>
      <c r="I249" s="90" t="s">
        <v>559</v>
      </c>
      <c r="J249" s="90">
        <f t="shared" si="43"/>
        <v>0</v>
      </c>
      <c r="L249" s="11"/>
    </row>
    <row r="250" spans="1:12" s="6" customFormat="1" ht="78" x14ac:dyDescent="0.25">
      <c r="A250" s="15" t="s">
        <v>527</v>
      </c>
      <c r="B250" s="12" t="s">
        <v>178</v>
      </c>
      <c r="C250" s="2" t="s">
        <v>525</v>
      </c>
      <c r="D250" s="27" t="s">
        <v>26</v>
      </c>
      <c r="E250" s="20">
        <f>E251</f>
        <v>0</v>
      </c>
      <c r="F250" s="20">
        <f>F251</f>
        <v>30303.040000000001</v>
      </c>
      <c r="G250" s="20">
        <f>G251</f>
        <v>21515.15</v>
      </c>
      <c r="H250" s="20">
        <f t="shared" si="36"/>
        <v>8787.89</v>
      </c>
      <c r="I250" s="20" t="s">
        <v>559</v>
      </c>
      <c r="J250" s="20">
        <f t="shared" si="43"/>
        <v>71</v>
      </c>
      <c r="L250" s="11"/>
    </row>
    <row r="251" spans="1:12" s="6" customFormat="1" ht="31.2" x14ac:dyDescent="0.25">
      <c r="A251" s="15" t="s">
        <v>117</v>
      </c>
      <c r="B251" s="12" t="s">
        <v>178</v>
      </c>
      <c r="C251" s="2" t="s">
        <v>525</v>
      </c>
      <c r="D251" s="27" t="s">
        <v>118</v>
      </c>
      <c r="E251" s="90">
        <v>0</v>
      </c>
      <c r="F251" s="90">
        <v>30303.040000000001</v>
      </c>
      <c r="G251" s="90">
        <v>21515.15</v>
      </c>
      <c r="H251" s="90">
        <f t="shared" si="36"/>
        <v>8787.89</v>
      </c>
      <c r="I251" s="90" t="s">
        <v>559</v>
      </c>
      <c r="J251" s="90">
        <f t="shared" si="43"/>
        <v>71</v>
      </c>
      <c r="L251" s="11"/>
    </row>
    <row r="252" spans="1:12" s="17" customFormat="1" ht="46.8" x14ac:dyDescent="0.3">
      <c r="A252" s="14" t="s">
        <v>452</v>
      </c>
      <c r="B252" s="12" t="s">
        <v>178</v>
      </c>
      <c r="C252" s="2" t="s">
        <v>164</v>
      </c>
      <c r="D252" s="27" t="s">
        <v>26</v>
      </c>
      <c r="E252" s="13">
        <f t="shared" ref="E252:G253" si="44">E253</f>
        <v>944812.94</v>
      </c>
      <c r="F252" s="13">
        <f t="shared" si="44"/>
        <v>806754</v>
      </c>
      <c r="G252" s="13">
        <f t="shared" si="44"/>
        <v>806754</v>
      </c>
      <c r="H252" s="13">
        <f t="shared" si="36"/>
        <v>0</v>
      </c>
      <c r="I252" s="13">
        <f t="shared" ref="I252:I261" si="45">$G252/$E252*100</f>
        <v>85.39</v>
      </c>
      <c r="J252" s="13">
        <f t="shared" si="43"/>
        <v>100</v>
      </c>
      <c r="L252" s="11"/>
    </row>
    <row r="253" spans="1:12" s="17" customFormat="1" ht="31.2" x14ac:dyDescent="0.3">
      <c r="A253" s="1" t="s">
        <v>454</v>
      </c>
      <c r="B253" s="12" t="s">
        <v>178</v>
      </c>
      <c r="C253" s="2" t="s">
        <v>456</v>
      </c>
      <c r="D253" s="27" t="s">
        <v>26</v>
      </c>
      <c r="E253" s="20">
        <f t="shared" si="44"/>
        <v>944812.94</v>
      </c>
      <c r="F253" s="20">
        <f t="shared" si="44"/>
        <v>806754</v>
      </c>
      <c r="G253" s="20">
        <f t="shared" si="44"/>
        <v>806754</v>
      </c>
      <c r="H253" s="20">
        <f t="shared" si="36"/>
        <v>0</v>
      </c>
      <c r="I253" s="20">
        <f t="shared" si="45"/>
        <v>85.39</v>
      </c>
      <c r="J253" s="20">
        <f t="shared" si="43"/>
        <v>100</v>
      </c>
      <c r="L253" s="11"/>
    </row>
    <row r="254" spans="1:12" s="17" customFormat="1" ht="46.8" x14ac:dyDescent="0.3">
      <c r="A254" s="1" t="s">
        <v>455</v>
      </c>
      <c r="B254" s="12" t="s">
        <v>178</v>
      </c>
      <c r="C254" s="2" t="s">
        <v>457</v>
      </c>
      <c r="D254" s="27" t="s">
        <v>26</v>
      </c>
      <c r="E254" s="20">
        <f>E255+E257</f>
        <v>944812.94</v>
      </c>
      <c r="F254" s="20">
        <f>F255+F257</f>
        <v>806754</v>
      </c>
      <c r="G254" s="20">
        <f>G255+G257</f>
        <v>806754</v>
      </c>
      <c r="H254" s="20">
        <f t="shared" si="36"/>
        <v>0</v>
      </c>
      <c r="I254" s="20">
        <f t="shared" si="45"/>
        <v>85.39</v>
      </c>
      <c r="J254" s="20">
        <f t="shared" si="43"/>
        <v>100</v>
      </c>
      <c r="L254" s="11"/>
    </row>
    <row r="255" spans="1:12" s="17" customFormat="1" ht="78" x14ac:dyDescent="0.3">
      <c r="A255" s="35" t="s">
        <v>260</v>
      </c>
      <c r="B255" s="12" t="s">
        <v>178</v>
      </c>
      <c r="C255" s="2" t="s">
        <v>468</v>
      </c>
      <c r="D255" s="27" t="s">
        <v>26</v>
      </c>
      <c r="E255" s="20">
        <f>E256</f>
        <v>897572.29</v>
      </c>
      <c r="F255" s="20">
        <f>F256</f>
        <v>403377</v>
      </c>
      <c r="G255" s="20">
        <f>G256</f>
        <v>403377</v>
      </c>
      <c r="H255" s="20">
        <f t="shared" si="36"/>
        <v>0</v>
      </c>
      <c r="I255" s="20">
        <f t="shared" si="45"/>
        <v>44.94</v>
      </c>
      <c r="J255" s="20">
        <f t="shared" si="43"/>
        <v>100</v>
      </c>
      <c r="L255" s="11"/>
    </row>
    <row r="256" spans="1:12" s="17" customFormat="1" ht="31.2" x14ac:dyDescent="0.3">
      <c r="A256" s="15" t="s">
        <v>117</v>
      </c>
      <c r="B256" s="12" t="s">
        <v>178</v>
      </c>
      <c r="C256" s="2" t="s">
        <v>468</v>
      </c>
      <c r="D256" s="27" t="s">
        <v>118</v>
      </c>
      <c r="E256" s="20">
        <f>897572.29</f>
        <v>897572.29</v>
      </c>
      <c r="F256" s="20">
        <f>897572.29-494195.29</f>
        <v>403377</v>
      </c>
      <c r="G256" s="20">
        <f>897572.29-494195.29</f>
        <v>403377</v>
      </c>
      <c r="H256" s="20">
        <f t="shared" si="36"/>
        <v>0</v>
      </c>
      <c r="I256" s="20">
        <f t="shared" si="45"/>
        <v>44.94</v>
      </c>
      <c r="J256" s="20">
        <f t="shared" si="43"/>
        <v>100</v>
      </c>
      <c r="L256" s="11"/>
    </row>
    <row r="257" spans="1:12" s="17" customFormat="1" ht="78" x14ac:dyDescent="0.3">
      <c r="A257" s="35" t="s">
        <v>261</v>
      </c>
      <c r="B257" s="12" t="s">
        <v>178</v>
      </c>
      <c r="C257" s="2" t="s">
        <v>468</v>
      </c>
      <c r="D257" s="27" t="s">
        <v>26</v>
      </c>
      <c r="E257" s="20">
        <f>E258</f>
        <v>47240.65</v>
      </c>
      <c r="F257" s="20">
        <f>F258</f>
        <v>403377</v>
      </c>
      <c r="G257" s="20">
        <f>G258</f>
        <v>403377</v>
      </c>
      <c r="H257" s="20">
        <f t="shared" si="36"/>
        <v>0</v>
      </c>
      <c r="I257" s="20">
        <f t="shared" si="45"/>
        <v>853.88</v>
      </c>
      <c r="J257" s="20">
        <f t="shared" si="43"/>
        <v>100</v>
      </c>
      <c r="L257" s="11"/>
    </row>
    <row r="258" spans="1:12" s="17" customFormat="1" ht="31.2" x14ac:dyDescent="0.3">
      <c r="A258" s="15" t="s">
        <v>117</v>
      </c>
      <c r="B258" s="12" t="s">
        <v>178</v>
      </c>
      <c r="C258" s="2" t="s">
        <v>468</v>
      </c>
      <c r="D258" s="27" t="s">
        <v>118</v>
      </c>
      <c r="E258" s="20">
        <v>47240.65</v>
      </c>
      <c r="F258" s="20">
        <v>403377</v>
      </c>
      <c r="G258" s="20">
        <v>403377</v>
      </c>
      <c r="H258" s="20">
        <f t="shared" si="36"/>
        <v>0</v>
      </c>
      <c r="I258" s="20">
        <f t="shared" si="45"/>
        <v>853.88</v>
      </c>
      <c r="J258" s="20">
        <f t="shared" si="43"/>
        <v>100</v>
      </c>
      <c r="L258" s="11"/>
    </row>
    <row r="259" spans="1:12" s="17" customFormat="1" ht="46.8" x14ac:dyDescent="0.3">
      <c r="A259" s="12" t="s">
        <v>350</v>
      </c>
      <c r="B259" s="14" t="s">
        <v>178</v>
      </c>
      <c r="C259" s="14" t="s">
        <v>147</v>
      </c>
      <c r="D259" s="14" t="s">
        <v>26</v>
      </c>
      <c r="E259" s="20">
        <f t="shared" ref="E259:G260" si="46">E260</f>
        <v>9208428.3000000007</v>
      </c>
      <c r="F259" s="20">
        <f t="shared" si="46"/>
        <v>19897230.030000001</v>
      </c>
      <c r="G259" s="20">
        <f t="shared" si="46"/>
        <v>10017037.050000001</v>
      </c>
      <c r="H259" s="20">
        <f t="shared" si="36"/>
        <v>9880192.9800000004</v>
      </c>
      <c r="I259" s="20">
        <f t="shared" si="45"/>
        <v>108.78</v>
      </c>
      <c r="J259" s="20">
        <f t="shared" si="43"/>
        <v>50.34</v>
      </c>
      <c r="L259" s="11"/>
    </row>
    <row r="260" spans="1:12" s="17" customFormat="1" ht="31.2" x14ac:dyDescent="0.3">
      <c r="A260" s="2" t="s">
        <v>348</v>
      </c>
      <c r="B260" s="14" t="s">
        <v>178</v>
      </c>
      <c r="C260" s="14" t="s">
        <v>277</v>
      </c>
      <c r="D260" s="14" t="s">
        <v>26</v>
      </c>
      <c r="E260" s="20">
        <f t="shared" si="46"/>
        <v>9208428.3000000007</v>
      </c>
      <c r="F260" s="20">
        <f t="shared" si="46"/>
        <v>19897230.030000001</v>
      </c>
      <c r="G260" s="20">
        <f t="shared" si="46"/>
        <v>10017037.050000001</v>
      </c>
      <c r="H260" s="20">
        <f t="shared" si="36"/>
        <v>9880192.9800000004</v>
      </c>
      <c r="I260" s="20">
        <f t="shared" si="45"/>
        <v>108.78</v>
      </c>
      <c r="J260" s="20">
        <f t="shared" si="43"/>
        <v>50.34</v>
      </c>
      <c r="L260" s="11"/>
    </row>
    <row r="261" spans="1:12" s="17" customFormat="1" ht="15.6" x14ac:dyDescent="0.3">
      <c r="A261" s="2" t="s">
        <v>349</v>
      </c>
      <c r="B261" s="14" t="s">
        <v>178</v>
      </c>
      <c r="C261" s="14" t="s">
        <v>274</v>
      </c>
      <c r="D261" s="14" t="s">
        <v>26</v>
      </c>
      <c r="E261" s="20">
        <f>E264+E266+E268+E262</f>
        <v>9208428.3000000007</v>
      </c>
      <c r="F261" s="20">
        <f>F264+F266+F268+F262</f>
        <v>19897230.030000001</v>
      </c>
      <c r="G261" s="20">
        <f>G264+G266+G268+G262</f>
        <v>10017037.050000001</v>
      </c>
      <c r="H261" s="20">
        <f t="shared" si="36"/>
        <v>9880192.9800000004</v>
      </c>
      <c r="I261" s="20">
        <f t="shared" si="45"/>
        <v>108.78</v>
      </c>
      <c r="J261" s="20">
        <f t="shared" si="43"/>
        <v>50.34</v>
      </c>
      <c r="L261" s="11"/>
    </row>
    <row r="262" spans="1:12" s="17" customFormat="1" ht="31.2" x14ac:dyDescent="0.3">
      <c r="A262" s="2" t="s">
        <v>351</v>
      </c>
      <c r="B262" s="12" t="s">
        <v>178</v>
      </c>
      <c r="C262" s="2" t="s">
        <v>214</v>
      </c>
      <c r="D262" s="12" t="s">
        <v>26</v>
      </c>
      <c r="E262" s="18">
        <f>E263</f>
        <v>0</v>
      </c>
      <c r="F262" s="18">
        <f>F263</f>
        <v>1358000</v>
      </c>
      <c r="G262" s="18">
        <f>G263</f>
        <v>1358000</v>
      </c>
      <c r="H262" s="18">
        <f t="shared" ref="H262:H324" si="47">$F262-$G262</f>
        <v>0</v>
      </c>
      <c r="I262" s="18" t="s">
        <v>559</v>
      </c>
      <c r="J262" s="18">
        <f t="shared" si="43"/>
        <v>100</v>
      </c>
      <c r="L262" s="11"/>
    </row>
    <row r="263" spans="1:12" s="17" customFormat="1" ht="31.2" x14ac:dyDescent="0.3">
      <c r="A263" s="2" t="s">
        <v>117</v>
      </c>
      <c r="B263" s="12" t="s">
        <v>178</v>
      </c>
      <c r="C263" s="2" t="s">
        <v>214</v>
      </c>
      <c r="D263" s="2">
        <v>240</v>
      </c>
      <c r="E263" s="18">
        <v>0</v>
      </c>
      <c r="F263" s="18">
        <v>1358000</v>
      </c>
      <c r="G263" s="18">
        <v>1358000</v>
      </c>
      <c r="H263" s="18">
        <f t="shared" si="47"/>
        <v>0</v>
      </c>
      <c r="I263" s="18" t="s">
        <v>559</v>
      </c>
      <c r="J263" s="18">
        <f t="shared" si="43"/>
        <v>100</v>
      </c>
      <c r="L263" s="11"/>
    </row>
    <row r="264" spans="1:12" s="17" customFormat="1" ht="31.2" x14ac:dyDescent="0.3">
      <c r="A264" s="15" t="s">
        <v>298</v>
      </c>
      <c r="B264" s="12" t="s">
        <v>178</v>
      </c>
      <c r="C264" s="2" t="s">
        <v>448</v>
      </c>
      <c r="D264" s="27" t="s">
        <v>26</v>
      </c>
      <c r="E264" s="20">
        <f>E265</f>
        <v>266000</v>
      </c>
      <c r="F264" s="20">
        <f>F265</f>
        <v>266000</v>
      </c>
      <c r="G264" s="20">
        <f>G265</f>
        <v>81900</v>
      </c>
      <c r="H264" s="20">
        <f t="shared" si="47"/>
        <v>184100</v>
      </c>
      <c r="I264" s="20">
        <f t="shared" ref="I264:I286" si="48">$G264/$E264*100</f>
        <v>30.79</v>
      </c>
      <c r="J264" s="20">
        <f t="shared" si="43"/>
        <v>30.79</v>
      </c>
      <c r="L264" s="11"/>
    </row>
    <row r="265" spans="1:12" s="17" customFormat="1" ht="31.2" x14ac:dyDescent="0.3">
      <c r="A265" s="15" t="s">
        <v>117</v>
      </c>
      <c r="B265" s="12" t="s">
        <v>178</v>
      </c>
      <c r="C265" s="2" t="s">
        <v>448</v>
      </c>
      <c r="D265" s="27" t="s">
        <v>118</v>
      </c>
      <c r="E265" s="20">
        <v>266000</v>
      </c>
      <c r="F265" s="20">
        <v>266000</v>
      </c>
      <c r="G265" s="20">
        <v>81900</v>
      </c>
      <c r="H265" s="20">
        <f t="shared" si="47"/>
        <v>184100</v>
      </c>
      <c r="I265" s="20">
        <f t="shared" si="48"/>
        <v>30.79</v>
      </c>
      <c r="J265" s="20">
        <f t="shared" si="43"/>
        <v>30.79</v>
      </c>
      <c r="L265" s="11"/>
    </row>
    <row r="266" spans="1:12" s="17" customFormat="1" ht="31.2" x14ac:dyDescent="0.3">
      <c r="A266" s="24" t="s">
        <v>299</v>
      </c>
      <c r="B266" s="12" t="s">
        <v>178</v>
      </c>
      <c r="C266" s="2" t="s">
        <v>300</v>
      </c>
      <c r="D266" s="27" t="s">
        <v>26</v>
      </c>
      <c r="E266" s="20">
        <f>E267</f>
        <v>2064428.3</v>
      </c>
      <c r="F266" s="20">
        <f>F267</f>
        <v>3559428.3</v>
      </c>
      <c r="G266" s="20">
        <f>G267</f>
        <v>985722.91</v>
      </c>
      <c r="H266" s="20">
        <f t="shared" si="47"/>
        <v>2573705.39</v>
      </c>
      <c r="I266" s="20">
        <f t="shared" si="48"/>
        <v>47.75</v>
      </c>
      <c r="J266" s="20">
        <f t="shared" si="43"/>
        <v>27.69</v>
      </c>
      <c r="L266" s="11"/>
    </row>
    <row r="267" spans="1:12" s="17" customFormat="1" ht="31.2" x14ac:dyDescent="0.3">
      <c r="A267" s="15" t="s">
        <v>117</v>
      </c>
      <c r="B267" s="12" t="s">
        <v>178</v>
      </c>
      <c r="C267" s="2" t="s">
        <v>300</v>
      </c>
      <c r="D267" s="27" t="s">
        <v>118</v>
      </c>
      <c r="E267" s="20">
        <f>2064428.3</f>
        <v>2064428.3</v>
      </c>
      <c r="F267" s="20">
        <f>2064428.3+1495000</f>
        <v>3559428.3</v>
      </c>
      <c r="G267" s="20">
        <v>985722.91</v>
      </c>
      <c r="H267" s="20">
        <f t="shared" si="47"/>
        <v>2573705.39</v>
      </c>
      <c r="I267" s="20">
        <f t="shared" si="48"/>
        <v>47.75</v>
      </c>
      <c r="J267" s="20">
        <f t="shared" si="43"/>
        <v>27.69</v>
      </c>
      <c r="L267" s="11"/>
    </row>
    <row r="268" spans="1:12" s="17" customFormat="1" ht="31.2" x14ac:dyDescent="0.3">
      <c r="A268" s="24" t="s">
        <v>302</v>
      </c>
      <c r="B268" s="12" t="s">
        <v>178</v>
      </c>
      <c r="C268" s="2" t="s">
        <v>301</v>
      </c>
      <c r="D268" s="27" t="s">
        <v>26</v>
      </c>
      <c r="E268" s="20">
        <f>E269</f>
        <v>6878000</v>
      </c>
      <c r="F268" s="20">
        <f>F269</f>
        <v>14713801.73</v>
      </c>
      <c r="G268" s="20">
        <f>G269</f>
        <v>7591414.1399999997</v>
      </c>
      <c r="H268" s="20">
        <f t="shared" si="47"/>
        <v>7122387.5899999999</v>
      </c>
      <c r="I268" s="20">
        <f t="shared" si="48"/>
        <v>110.37</v>
      </c>
      <c r="J268" s="20">
        <f t="shared" si="43"/>
        <v>51.59</v>
      </c>
      <c r="L268" s="11"/>
    </row>
    <row r="269" spans="1:12" s="17" customFormat="1" ht="31.2" x14ac:dyDescent="0.3">
      <c r="A269" s="15" t="s">
        <v>117</v>
      </c>
      <c r="B269" s="12" t="s">
        <v>178</v>
      </c>
      <c r="C269" s="2" t="s">
        <v>301</v>
      </c>
      <c r="D269" s="27" t="s">
        <v>118</v>
      </c>
      <c r="E269" s="20">
        <f>6878000</f>
        <v>6878000</v>
      </c>
      <c r="F269" s="20">
        <v>14713801.73</v>
      </c>
      <c r="G269" s="20">
        <v>7591414.1399999997</v>
      </c>
      <c r="H269" s="20">
        <f t="shared" si="47"/>
        <v>7122387.5899999999</v>
      </c>
      <c r="I269" s="20">
        <f t="shared" si="48"/>
        <v>110.37</v>
      </c>
      <c r="J269" s="20">
        <f t="shared" si="43"/>
        <v>51.59</v>
      </c>
      <c r="L269" s="11"/>
    </row>
    <row r="270" spans="1:12" s="17" customFormat="1" ht="31.2" x14ac:dyDescent="0.3">
      <c r="A270" s="14" t="s">
        <v>168</v>
      </c>
      <c r="B270" s="14" t="s">
        <v>170</v>
      </c>
      <c r="C270" s="2" t="s">
        <v>146</v>
      </c>
      <c r="D270" s="14" t="s">
        <v>26</v>
      </c>
      <c r="E270" s="20">
        <f t="shared" ref="E270:G274" si="49">E271</f>
        <v>5166.2</v>
      </c>
      <c r="F270" s="20">
        <f t="shared" si="49"/>
        <v>5166.2</v>
      </c>
      <c r="G270" s="20">
        <f t="shared" si="49"/>
        <v>3013.64</v>
      </c>
      <c r="H270" s="20">
        <f t="shared" si="47"/>
        <v>2152.56</v>
      </c>
      <c r="I270" s="20">
        <f t="shared" si="48"/>
        <v>58.33</v>
      </c>
      <c r="J270" s="20">
        <f t="shared" ref="J270:J286" si="50">$G270/$F270*100</f>
        <v>58.33</v>
      </c>
      <c r="L270" s="11"/>
    </row>
    <row r="271" spans="1:12" s="17" customFormat="1" ht="46.8" x14ac:dyDescent="0.3">
      <c r="A271" s="12" t="s">
        <v>350</v>
      </c>
      <c r="B271" s="14" t="s">
        <v>170</v>
      </c>
      <c r="C271" s="14" t="s">
        <v>147</v>
      </c>
      <c r="D271" s="14" t="s">
        <v>26</v>
      </c>
      <c r="E271" s="20">
        <f t="shared" si="49"/>
        <v>5166.2</v>
      </c>
      <c r="F271" s="20">
        <f t="shared" si="49"/>
        <v>5166.2</v>
      </c>
      <c r="G271" s="20">
        <f t="shared" si="49"/>
        <v>3013.64</v>
      </c>
      <c r="H271" s="20">
        <f t="shared" si="47"/>
        <v>2152.56</v>
      </c>
      <c r="I271" s="20">
        <f t="shared" si="48"/>
        <v>58.33</v>
      </c>
      <c r="J271" s="20">
        <f t="shared" si="50"/>
        <v>58.33</v>
      </c>
      <c r="L271" s="11"/>
    </row>
    <row r="272" spans="1:12" s="17" customFormat="1" ht="31.2" x14ac:dyDescent="0.3">
      <c r="A272" s="2" t="s">
        <v>348</v>
      </c>
      <c r="B272" s="14" t="s">
        <v>170</v>
      </c>
      <c r="C272" s="14" t="s">
        <v>277</v>
      </c>
      <c r="D272" s="14" t="s">
        <v>26</v>
      </c>
      <c r="E272" s="20">
        <f t="shared" si="49"/>
        <v>5166.2</v>
      </c>
      <c r="F272" s="20">
        <f t="shared" si="49"/>
        <v>5166.2</v>
      </c>
      <c r="G272" s="20">
        <f t="shared" si="49"/>
        <v>3013.64</v>
      </c>
      <c r="H272" s="20">
        <f t="shared" si="47"/>
        <v>2152.56</v>
      </c>
      <c r="I272" s="20">
        <f t="shared" si="48"/>
        <v>58.33</v>
      </c>
      <c r="J272" s="20">
        <f t="shared" si="50"/>
        <v>58.33</v>
      </c>
      <c r="L272" s="11"/>
    </row>
    <row r="273" spans="1:12" s="17" customFormat="1" ht="15.6" x14ac:dyDescent="0.3">
      <c r="A273" s="74" t="s">
        <v>349</v>
      </c>
      <c r="B273" s="14" t="s">
        <v>170</v>
      </c>
      <c r="C273" s="14" t="s">
        <v>274</v>
      </c>
      <c r="D273" s="14" t="s">
        <v>26</v>
      </c>
      <c r="E273" s="20">
        <f t="shared" si="49"/>
        <v>5166.2</v>
      </c>
      <c r="F273" s="20">
        <f t="shared" si="49"/>
        <v>5166.2</v>
      </c>
      <c r="G273" s="20">
        <f t="shared" si="49"/>
        <v>3013.64</v>
      </c>
      <c r="H273" s="20">
        <f t="shared" si="47"/>
        <v>2152.56</v>
      </c>
      <c r="I273" s="20">
        <f t="shared" si="48"/>
        <v>58.33</v>
      </c>
      <c r="J273" s="20">
        <f t="shared" si="50"/>
        <v>58.33</v>
      </c>
      <c r="L273" s="11"/>
    </row>
    <row r="274" spans="1:12" s="17" customFormat="1" ht="62.4" x14ac:dyDescent="0.3">
      <c r="A274" s="77" t="s">
        <v>169</v>
      </c>
      <c r="B274" s="14" t="s">
        <v>170</v>
      </c>
      <c r="C274" s="26" t="s">
        <v>421</v>
      </c>
      <c r="D274" s="39" t="s">
        <v>26</v>
      </c>
      <c r="E274" s="20">
        <f t="shared" si="49"/>
        <v>5166.2</v>
      </c>
      <c r="F274" s="20">
        <f t="shared" si="49"/>
        <v>5166.2</v>
      </c>
      <c r="G274" s="20">
        <f t="shared" si="49"/>
        <v>3013.64</v>
      </c>
      <c r="H274" s="20">
        <f t="shared" si="47"/>
        <v>2152.56</v>
      </c>
      <c r="I274" s="20">
        <f t="shared" si="48"/>
        <v>58.33</v>
      </c>
      <c r="J274" s="20">
        <f t="shared" si="50"/>
        <v>58.33</v>
      </c>
      <c r="L274" s="11"/>
    </row>
    <row r="275" spans="1:12" s="17" customFormat="1" ht="31.2" x14ac:dyDescent="0.3">
      <c r="A275" s="1" t="s">
        <v>119</v>
      </c>
      <c r="B275" s="14" t="s">
        <v>170</v>
      </c>
      <c r="C275" s="26" t="s">
        <v>421</v>
      </c>
      <c r="D275" s="39" t="s">
        <v>120</v>
      </c>
      <c r="E275" s="93">
        <v>5166.2</v>
      </c>
      <c r="F275" s="93">
        <v>5166.2</v>
      </c>
      <c r="G275" s="93">
        <v>3013.64</v>
      </c>
      <c r="H275" s="93">
        <f t="shared" si="47"/>
        <v>2152.56</v>
      </c>
      <c r="I275" s="93">
        <f t="shared" si="48"/>
        <v>58.33</v>
      </c>
      <c r="J275" s="93">
        <f t="shared" si="50"/>
        <v>58.33</v>
      </c>
      <c r="L275" s="11"/>
    </row>
    <row r="276" spans="1:12" s="17" customFormat="1" ht="15.6" x14ac:dyDescent="0.3">
      <c r="A276" s="8" t="s">
        <v>30</v>
      </c>
      <c r="B276" s="9" t="s">
        <v>44</v>
      </c>
      <c r="C276" s="9" t="s">
        <v>146</v>
      </c>
      <c r="D276" s="48" t="s">
        <v>26</v>
      </c>
      <c r="E276" s="16">
        <f>E277+E295+E336+E342+E354</f>
        <v>711807310.22000003</v>
      </c>
      <c r="F276" s="16">
        <f t="shared" ref="F276:G276" si="51">F277+F295+F336+F342+F354</f>
        <v>682161722.03999996</v>
      </c>
      <c r="G276" s="16">
        <f t="shared" si="51"/>
        <v>516575145.08999997</v>
      </c>
      <c r="H276" s="16">
        <f t="shared" si="47"/>
        <v>165586576.94999999</v>
      </c>
      <c r="I276" s="16">
        <f t="shared" si="48"/>
        <v>72.569999999999993</v>
      </c>
      <c r="J276" s="16">
        <f t="shared" si="50"/>
        <v>75.73</v>
      </c>
      <c r="L276" s="11"/>
    </row>
    <row r="277" spans="1:12" s="17" customFormat="1" ht="15.6" x14ac:dyDescent="0.3">
      <c r="A277" s="2" t="s">
        <v>37</v>
      </c>
      <c r="B277" s="12" t="s">
        <v>45</v>
      </c>
      <c r="C277" s="12" t="s">
        <v>146</v>
      </c>
      <c r="D277" s="27" t="s">
        <v>26</v>
      </c>
      <c r="E277" s="13">
        <f t="shared" ref="E277:G278" si="52">E278</f>
        <v>186071010.91</v>
      </c>
      <c r="F277" s="13">
        <f t="shared" si="52"/>
        <v>185924560.91</v>
      </c>
      <c r="G277" s="13">
        <f t="shared" si="52"/>
        <v>138834271.66</v>
      </c>
      <c r="H277" s="13">
        <f t="shared" si="47"/>
        <v>47090289.25</v>
      </c>
      <c r="I277" s="13">
        <f t="shared" si="48"/>
        <v>74.61</v>
      </c>
      <c r="J277" s="13">
        <f t="shared" si="50"/>
        <v>74.67</v>
      </c>
      <c r="L277" s="11"/>
    </row>
    <row r="278" spans="1:12" s="17" customFormat="1" ht="46.8" x14ac:dyDescent="0.3">
      <c r="A278" s="2" t="s">
        <v>496</v>
      </c>
      <c r="B278" s="12" t="s">
        <v>45</v>
      </c>
      <c r="C278" s="12" t="s">
        <v>0</v>
      </c>
      <c r="D278" s="27" t="s">
        <v>26</v>
      </c>
      <c r="E278" s="91">
        <f t="shared" si="52"/>
        <v>186071010.91</v>
      </c>
      <c r="F278" s="91">
        <f t="shared" si="52"/>
        <v>185924560.91</v>
      </c>
      <c r="G278" s="91">
        <f t="shared" si="52"/>
        <v>138834271.66</v>
      </c>
      <c r="H278" s="91">
        <f t="shared" si="47"/>
        <v>47090289.25</v>
      </c>
      <c r="I278" s="91">
        <f t="shared" si="48"/>
        <v>74.61</v>
      </c>
      <c r="J278" s="91">
        <f t="shared" si="50"/>
        <v>74.67</v>
      </c>
      <c r="L278" s="11"/>
    </row>
    <row r="279" spans="1:12" s="17" customFormat="1" ht="31.2" x14ac:dyDescent="0.3">
      <c r="A279" s="2" t="s">
        <v>303</v>
      </c>
      <c r="B279" s="12" t="s">
        <v>45</v>
      </c>
      <c r="C279" s="12" t="s">
        <v>18</v>
      </c>
      <c r="D279" s="27" t="s">
        <v>26</v>
      </c>
      <c r="E279" s="13">
        <f>E280+E287+E290</f>
        <v>186071010.91</v>
      </c>
      <c r="F279" s="13">
        <f>F280+F287+F290</f>
        <v>185924560.91</v>
      </c>
      <c r="G279" s="13">
        <f>G280+G287+G290</f>
        <v>138834271.66</v>
      </c>
      <c r="H279" s="13">
        <f t="shared" si="47"/>
        <v>47090289.25</v>
      </c>
      <c r="I279" s="13">
        <f t="shared" si="48"/>
        <v>74.61</v>
      </c>
      <c r="J279" s="13">
        <f t="shared" si="50"/>
        <v>74.67</v>
      </c>
      <c r="L279" s="11"/>
    </row>
    <row r="280" spans="1:12" s="17" customFormat="1" ht="31.2" x14ac:dyDescent="0.3">
      <c r="A280" s="49" t="s">
        <v>226</v>
      </c>
      <c r="B280" s="12" t="s">
        <v>45</v>
      </c>
      <c r="C280" s="12" t="s">
        <v>227</v>
      </c>
      <c r="D280" s="27" t="s">
        <v>26</v>
      </c>
      <c r="E280" s="13">
        <f>E281+E283+E285</f>
        <v>185971010.91</v>
      </c>
      <c r="F280" s="13">
        <f>F281+F283+F285</f>
        <v>185924560.91</v>
      </c>
      <c r="G280" s="13">
        <f>G281+G283+G285</f>
        <v>138834271.66</v>
      </c>
      <c r="H280" s="13">
        <f t="shared" si="47"/>
        <v>47090289.25</v>
      </c>
      <c r="I280" s="13">
        <f t="shared" si="48"/>
        <v>74.650000000000006</v>
      </c>
      <c r="J280" s="13">
        <f t="shared" si="50"/>
        <v>74.67</v>
      </c>
      <c r="L280" s="11"/>
    </row>
    <row r="281" spans="1:12" s="17" customFormat="1" ht="46.8" x14ac:dyDescent="0.3">
      <c r="A281" s="74" t="s">
        <v>111</v>
      </c>
      <c r="B281" s="12" t="s">
        <v>45</v>
      </c>
      <c r="C281" s="12" t="s">
        <v>223</v>
      </c>
      <c r="D281" s="12" t="s">
        <v>26</v>
      </c>
      <c r="E281" s="20">
        <f>E282</f>
        <v>105315775.91</v>
      </c>
      <c r="F281" s="20">
        <f>F282</f>
        <v>104015775.91</v>
      </c>
      <c r="G281" s="20">
        <f>G282</f>
        <v>71924064.810000002</v>
      </c>
      <c r="H281" s="20">
        <f t="shared" si="47"/>
        <v>32091711.100000001</v>
      </c>
      <c r="I281" s="20">
        <f t="shared" si="48"/>
        <v>68.290000000000006</v>
      </c>
      <c r="J281" s="20">
        <f t="shared" si="50"/>
        <v>69.150000000000006</v>
      </c>
      <c r="L281" s="11"/>
    </row>
    <row r="282" spans="1:12" s="17" customFormat="1" ht="15.6" x14ac:dyDescent="0.3">
      <c r="A282" s="2" t="s">
        <v>130</v>
      </c>
      <c r="B282" s="12" t="s">
        <v>45</v>
      </c>
      <c r="C282" s="12" t="s">
        <v>223</v>
      </c>
      <c r="D282" s="12" t="s">
        <v>131</v>
      </c>
      <c r="E282" s="20">
        <f>105315775.91</f>
        <v>105315775.91</v>
      </c>
      <c r="F282" s="20">
        <f>105315775.91-1300000</f>
        <v>104015775.91</v>
      </c>
      <c r="G282" s="20">
        <v>71924064.810000002</v>
      </c>
      <c r="H282" s="20">
        <f t="shared" si="47"/>
        <v>32091711.100000001</v>
      </c>
      <c r="I282" s="20">
        <f t="shared" si="48"/>
        <v>68.290000000000006</v>
      </c>
      <c r="J282" s="20">
        <f t="shared" si="50"/>
        <v>69.150000000000006</v>
      </c>
      <c r="L282" s="11"/>
    </row>
    <row r="283" spans="1:12" s="17" customFormat="1" ht="93.6" x14ac:dyDescent="0.3">
      <c r="A283" s="2" t="s">
        <v>115</v>
      </c>
      <c r="B283" s="12" t="s">
        <v>45</v>
      </c>
      <c r="C283" s="12" t="s">
        <v>224</v>
      </c>
      <c r="D283" s="12" t="s">
        <v>26</v>
      </c>
      <c r="E283" s="20">
        <f>E284</f>
        <v>453000</v>
      </c>
      <c r="F283" s="20">
        <f>F284</f>
        <v>1706550</v>
      </c>
      <c r="G283" s="20">
        <f>G284</f>
        <v>599240.77</v>
      </c>
      <c r="H283" s="20">
        <f t="shared" si="47"/>
        <v>1107309.23</v>
      </c>
      <c r="I283" s="20">
        <f t="shared" si="48"/>
        <v>132.28</v>
      </c>
      <c r="J283" s="20">
        <f t="shared" si="50"/>
        <v>35.11</v>
      </c>
      <c r="L283" s="11"/>
    </row>
    <row r="284" spans="1:12" s="17" customFormat="1" ht="15.6" x14ac:dyDescent="0.3">
      <c r="A284" s="2" t="s">
        <v>130</v>
      </c>
      <c r="B284" s="12" t="s">
        <v>45</v>
      </c>
      <c r="C284" s="12" t="s">
        <v>224</v>
      </c>
      <c r="D284" s="12" t="s">
        <v>131</v>
      </c>
      <c r="E284" s="20">
        <f>453000</f>
        <v>453000</v>
      </c>
      <c r="F284" s="20">
        <f>453000+240000+1013550</f>
        <v>1706550</v>
      </c>
      <c r="G284" s="20">
        <v>599240.77</v>
      </c>
      <c r="H284" s="20">
        <f t="shared" si="47"/>
        <v>1107309.23</v>
      </c>
      <c r="I284" s="20">
        <f t="shared" si="48"/>
        <v>132.28</v>
      </c>
      <c r="J284" s="20">
        <f t="shared" si="50"/>
        <v>35.11</v>
      </c>
      <c r="L284" s="11"/>
    </row>
    <row r="285" spans="1:12" s="17" customFormat="1" ht="78" x14ac:dyDescent="0.3">
      <c r="A285" s="2" t="s">
        <v>269</v>
      </c>
      <c r="B285" s="12" t="s">
        <v>45</v>
      </c>
      <c r="C285" s="12" t="s">
        <v>225</v>
      </c>
      <c r="D285" s="12" t="s">
        <v>26</v>
      </c>
      <c r="E285" s="13">
        <f>E286</f>
        <v>80202235</v>
      </c>
      <c r="F285" s="13">
        <f>F286</f>
        <v>80202235</v>
      </c>
      <c r="G285" s="13">
        <f>G286</f>
        <v>66310966.079999998</v>
      </c>
      <c r="H285" s="13">
        <f t="shared" si="47"/>
        <v>13891268.92</v>
      </c>
      <c r="I285" s="13">
        <f t="shared" si="48"/>
        <v>82.68</v>
      </c>
      <c r="J285" s="13">
        <f t="shared" si="50"/>
        <v>82.68</v>
      </c>
      <c r="L285" s="11"/>
    </row>
    <row r="286" spans="1:12" s="17" customFormat="1" ht="15.6" x14ac:dyDescent="0.3">
      <c r="A286" s="2" t="s">
        <v>130</v>
      </c>
      <c r="B286" s="12" t="s">
        <v>45</v>
      </c>
      <c r="C286" s="12" t="s">
        <v>225</v>
      </c>
      <c r="D286" s="12" t="s">
        <v>131</v>
      </c>
      <c r="E286" s="29">
        <v>80202235</v>
      </c>
      <c r="F286" s="29">
        <v>80202235</v>
      </c>
      <c r="G286" s="29">
        <v>66310966.079999998</v>
      </c>
      <c r="H286" s="29">
        <f t="shared" si="47"/>
        <v>13891268.92</v>
      </c>
      <c r="I286" s="29">
        <f t="shared" si="48"/>
        <v>82.68</v>
      </c>
      <c r="J286" s="29">
        <f t="shared" si="50"/>
        <v>82.68</v>
      </c>
      <c r="L286" s="11"/>
    </row>
    <row r="287" spans="1:12" s="17" customFormat="1" ht="31.2" x14ac:dyDescent="0.3">
      <c r="A287" s="49" t="s">
        <v>304</v>
      </c>
      <c r="B287" s="12" t="s">
        <v>45</v>
      </c>
      <c r="C287" s="12" t="s">
        <v>305</v>
      </c>
      <c r="D287" s="27" t="s">
        <v>26</v>
      </c>
      <c r="E287" s="13">
        <f t="shared" ref="E287:G288" si="53">E288</f>
        <v>0</v>
      </c>
      <c r="F287" s="13">
        <f t="shared" si="53"/>
        <v>0</v>
      </c>
      <c r="G287" s="13">
        <f t="shared" si="53"/>
        <v>0</v>
      </c>
      <c r="H287" s="13">
        <f t="shared" si="47"/>
        <v>0</v>
      </c>
      <c r="I287" s="13" t="s">
        <v>559</v>
      </c>
      <c r="J287" s="13" t="s">
        <v>559</v>
      </c>
      <c r="L287" s="11"/>
    </row>
    <row r="288" spans="1:12" s="17" customFormat="1" ht="78" x14ac:dyDescent="0.3">
      <c r="A288" s="2" t="s">
        <v>285</v>
      </c>
      <c r="B288" s="12" t="s">
        <v>45</v>
      </c>
      <c r="C288" s="12" t="s">
        <v>286</v>
      </c>
      <c r="D288" s="12" t="s">
        <v>26</v>
      </c>
      <c r="E288" s="20">
        <f t="shared" si="53"/>
        <v>0</v>
      </c>
      <c r="F288" s="20">
        <f t="shared" si="53"/>
        <v>0</v>
      </c>
      <c r="G288" s="20">
        <f t="shared" si="53"/>
        <v>0</v>
      </c>
      <c r="H288" s="20">
        <f t="shared" si="47"/>
        <v>0</v>
      </c>
      <c r="I288" s="20" t="s">
        <v>559</v>
      </c>
      <c r="J288" s="20" t="s">
        <v>559</v>
      </c>
      <c r="L288" s="11"/>
    </row>
    <row r="289" spans="1:12" s="17" customFormat="1" ht="15.6" x14ac:dyDescent="0.3">
      <c r="A289" s="2" t="s">
        <v>130</v>
      </c>
      <c r="B289" s="12" t="s">
        <v>45</v>
      </c>
      <c r="C289" s="12" t="s">
        <v>286</v>
      </c>
      <c r="D289" s="12" t="s">
        <v>131</v>
      </c>
      <c r="E289" s="20">
        <v>0</v>
      </c>
      <c r="F289" s="20">
        <v>0</v>
      </c>
      <c r="G289" s="20">
        <v>0</v>
      </c>
      <c r="H289" s="20">
        <f t="shared" si="47"/>
        <v>0</v>
      </c>
      <c r="I289" s="20" t="s">
        <v>559</v>
      </c>
      <c r="J289" s="20" t="s">
        <v>559</v>
      </c>
      <c r="L289" s="11"/>
    </row>
    <row r="290" spans="1:12" s="17" customFormat="1" ht="78" x14ac:dyDescent="0.3">
      <c r="A290" s="49" t="s">
        <v>490</v>
      </c>
      <c r="B290" s="12" t="s">
        <v>45</v>
      </c>
      <c r="C290" s="12" t="s">
        <v>466</v>
      </c>
      <c r="D290" s="27" t="s">
        <v>26</v>
      </c>
      <c r="E290" s="13">
        <f>E293+E291</f>
        <v>100000</v>
      </c>
      <c r="F290" s="13">
        <f>F293+F291</f>
        <v>0</v>
      </c>
      <c r="G290" s="13">
        <f>G293+G291</f>
        <v>0</v>
      </c>
      <c r="H290" s="13">
        <f t="shared" si="47"/>
        <v>0</v>
      </c>
      <c r="I290" s="13">
        <f>$G290/$E290*100</f>
        <v>0</v>
      </c>
      <c r="J290" s="13" t="s">
        <v>559</v>
      </c>
      <c r="L290" s="11"/>
    </row>
    <row r="291" spans="1:12" s="17" customFormat="1" ht="109.2" x14ac:dyDescent="0.3">
      <c r="A291" s="2" t="s">
        <v>552</v>
      </c>
      <c r="B291" s="12" t="s">
        <v>45</v>
      </c>
      <c r="C291" s="14" t="s">
        <v>467</v>
      </c>
      <c r="D291" s="27" t="s">
        <v>26</v>
      </c>
      <c r="E291" s="20">
        <f>E292</f>
        <v>0</v>
      </c>
      <c r="F291" s="20">
        <f>F292</f>
        <v>0</v>
      </c>
      <c r="G291" s="20">
        <f>G292</f>
        <v>0</v>
      </c>
      <c r="H291" s="20">
        <f t="shared" si="47"/>
        <v>0</v>
      </c>
      <c r="I291" s="20" t="s">
        <v>559</v>
      </c>
      <c r="J291" s="20" t="s">
        <v>559</v>
      </c>
      <c r="L291" s="11"/>
    </row>
    <row r="292" spans="1:12" s="17" customFormat="1" ht="15.6" x14ac:dyDescent="0.3">
      <c r="A292" s="2" t="s">
        <v>130</v>
      </c>
      <c r="B292" s="12" t="s">
        <v>45</v>
      </c>
      <c r="C292" s="14" t="s">
        <v>467</v>
      </c>
      <c r="D292" s="27" t="s">
        <v>131</v>
      </c>
      <c r="E292" s="20">
        <v>0</v>
      </c>
      <c r="F292" s="20">
        <f>100000-100000</f>
        <v>0</v>
      </c>
      <c r="G292" s="20">
        <f>100000-100000</f>
        <v>0</v>
      </c>
      <c r="H292" s="20">
        <f t="shared" si="47"/>
        <v>0</v>
      </c>
      <c r="I292" s="20" t="s">
        <v>559</v>
      </c>
      <c r="J292" s="20" t="s">
        <v>559</v>
      </c>
      <c r="L292" s="11"/>
    </row>
    <row r="293" spans="1:12" s="17" customFormat="1" ht="93.6" x14ac:dyDescent="0.3">
      <c r="A293" s="2" t="s">
        <v>460</v>
      </c>
      <c r="B293" s="12" t="s">
        <v>45</v>
      </c>
      <c r="C293" s="14" t="s">
        <v>467</v>
      </c>
      <c r="D293" s="27" t="s">
        <v>26</v>
      </c>
      <c r="E293" s="20">
        <f>E294</f>
        <v>100000</v>
      </c>
      <c r="F293" s="20">
        <f>F294</f>
        <v>0</v>
      </c>
      <c r="G293" s="20">
        <f>G294</f>
        <v>0</v>
      </c>
      <c r="H293" s="20">
        <f t="shared" si="47"/>
        <v>0</v>
      </c>
      <c r="I293" s="20">
        <f t="shared" ref="I293:I314" si="54">$G293/$E293*100</f>
        <v>0</v>
      </c>
      <c r="J293" s="20" t="s">
        <v>559</v>
      </c>
      <c r="L293" s="11"/>
    </row>
    <row r="294" spans="1:12" s="17" customFormat="1" ht="15.6" x14ac:dyDescent="0.3">
      <c r="A294" s="2" t="s">
        <v>130</v>
      </c>
      <c r="B294" s="12" t="s">
        <v>45</v>
      </c>
      <c r="C294" s="14" t="s">
        <v>467</v>
      </c>
      <c r="D294" s="27" t="s">
        <v>131</v>
      </c>
      <c r="E294" s="20">
        <f>100000</f>
        <v>100000</v>
      </c>
      <c r="F294" s="20">
        <f>100000-100000</f>
        <v>0</v>
      </c>
      <c r="G294" s="20">
        <f>100000-100000</f>
        <v>0</v>
      </c>
      <c r="H294" s="20">
        <f t="shared" si="47"/>
        <v>0</v>
      </c>
      <c r="I294" s="20">
        <f t="shared" si="54"/>
        <v>0</v>
      </c>
      <c r="J294" s="20" t="s">
        <v>559</v>
      </c>
      <c r="L294" s="11"/>
    </row>
    <row r="295" spans="1:12" s="17" customFormat="1" ht="15.6" x14ac:dyDescent="0.3">
      <c r="A295" s="2" t="s">
        <v>31</v>
      </c>
      <c r="B295" s="27" t="s">
        <v>46</v>
      </c>
      <c r="C295" s="27" t="s">
        <v>146</v>
      </c>
      <c r="D295" s="27" t="s">
        <v>26</v>
      </c>
      <c r="E295" s="13">
        <f>E296</f>
        <v>469416609.62</v>
      </c>
      <c r="F295" s="13">
        <f>F296</f>
        <v>434049227.42000002</v>
      </c>
      <c r="G295" s="13">
        <f>G296</f>
        <v>334691951.67000002</v>
      </c>
      <c r="H295" s="13">
        <f t="shared" si="47"/>
        <v>99357275.75</v>
      </c>
      <c r="I295" s="13">
        <f t="shared" si="54"/>
        <v>71.3</v>
      </c>
      <c r="J295" s="13">
        <f t="shared" ref="J295:J322" si="55">$G295/$F295*100</f>
        <v>77.11</v>
      </c>
      <c r="L295" s="11"/>
    </row>
    <row r="296" spans="1:12" s="17" customFormat="1" ht="46.8" x14ac:dyDescent="0.3">
      <c r="A296" s="2" t="s">
        <v>496</v>
      </c>
      <c r="B296" s="27" t="s">
        <v>46</v>
      </c>
      <c r="C296" s="27" t="s">
        <v>0</v>
      </c>
      <c r="D296" s="27" t="s">
        <v>26</v>
      </c>
      <c r="E296" s="13">
        <f>E297+E332</f>
        <v>469416609.62</v>
      </c>
      <c r="F296" s="13">
        <f>F297+F332</f>
        <v>434049227.42000002</v>
      </c>
      <c r="G296" s="13">
        <f>G297+G332</f>
        <v>334691951.67000002</v>
      </c>
      <c r="H296" s="13">
        <f t="shared" si="47"/>
        <v>99357275.75</v>
      </c>
      <c r="I296" s="13">
        <f t="shared" si="54"/>
        <v>71.3</v>
      </c>
      <c r="J296" s="13">
        <f t="shared" si="55"/>
        <v>77.11</v>
      </c>
      <c r="L296" s="11"/>
    </row>
    <row r="297" spans="1:12" s="17" customFormat="1" ht="31.2" x14ac:dyDescent="0.3">
      <c r="A297" s="2" t="s">
        <v>500</v>
      </c>
      <c r="B297" s="12" t="s">
        <v>46</v>
      </c>
      <c r="C297" s="12" t="s">
        <v>19</v>
      </c>
      <c r="D297" s="27" t="s">
        <v>26</v>
      </c>
      <c r="E297" s="13">
        <f>E298+E307+E314+E327</f>
        <v>466819369.51999998</v>
      </c>
      <c r="F297" s="13">
        <f>F298+F307+F314+F327</f>
        <v>431907270.62</v>
      </c>
      <c r="G297" s="13">
        <f>G298+G307+G314+G327</f>
        <v>332863672.54000002</v>
      </c>
      <c r="H297" s="13">
        <f t="shared" si="47"/>
        <v>99043598.079999998</v>
      </c>
      <c r="I297" s="13">
        <f t="shared" si="54"/>
        <v>71.3</v>
      </c>
      <c r="J297" s="13">
        <f t="shared" si="55"/>
        <v>77.069999999999993</v>
      </c>
      <c r="L297" s="11"/>
    </row>
    <row r="298" spans="1:12" s="17" customFormat="1" ht="31.2" x14ac:dyDescent="0.3">
      <c r="A298" s="25" t="s">
        <v>309</v>
      </c>
      <c r="B298" s="12" t="s">
        <v>46</v>
      </c>
      <c r="C298" s="12" t="s">
        <v>306</v>
      </c>
      <c r="D298" s="27" t="s">
        <v>26</v>
      </c>
      <c r="E298" s="13">
        <f>E299+E301+E303+E305</f>
        <v>385426225.98000002</v>
      </c>
      <c r="F298" s="13">
        <f>F299+F301+F303+F305</f>
        <v>403853967.57999998</v>
      </c>
      <c r="G298" s="13">
        <f>G299+G301+G303+G305</f>
        <v>315548325.94999999</v>
      </c>
      <c r="H298" s="13">
        <f t="shared" si="47"/>
        <v>88305641.629999995</v>
      </c>
      <c r="I298" s="13">
        <f t="shared" si="54"/>
        <v>81.87</v>
      </c>
      <c r="J298" s="13">
        <f t="shared" si="55"/>
        <v>78.13</v>
      </c>
      <c r="L298" s="11"/>
    </row>
    <row r="299" spans="1:12" s="17" customFormat="1" ht="156" x14ac:dyDescent="0.3">
      <c r="A299" s="1" t="s">
        <v>283</v>
      </c>
      <c r="B299" s="12" t="s">
        <v>46</v>
      </c>
      <c r="C299" s="12" t="s">
        <v>233</v>
      </c>
      <c r="D299" s="27" t="s">
        <v>26</v>
      </c>
      <c r="E299" s="20">
        <f>E300</f>
        <v>23049000</v>
      </c>
      <c r="F299" s="20">
        <f>F300</f>
        <v>18252000</v>
      </c>
      <c r="G299" s="20">
        <f>G300</f>
        <v>18135911.030000001</v>
      </c>
      <c r="H299" s="20">
        <f t="shared" si="47"/>
        <v>116088.97</v>
      </c>
      <c r="I299" s="20">
        <f t="shared" si="54"/>
        <v>78.680000000000007</v>
      </c>
      <c r="J299" s="20">
        <f t="shared" si="55"/>
        <v>99.36</v>
      </c>
      <c r="L299" s="11"/>
    </row>
    <row r="300" spans="1:12" s="17" customFormat="1" ht="15.6" x14ac:dyDescent="0.3">
      <c r="A300" s="2" t="s">
        <v>130</v>
      </c>
      <c r="B300" s="12" t="s">
        <v>46</v>
      </c>
      <c r="C300" s="12" t="s">
        <v>233</v>
      </c>
      <c r="D300" s="27" t="s">
        <v>131</v>
      </c>
      <c r="E300" s="90">
        <f>23049000</f>
        <v>23049000</v>
      </c>
      <c r="F300" s="90">
        <f>23049000-4797000</f>
        <v>18252000</v>
      </c>
      <c r="G300" s="90">
        <v>18135911.030000001</v>
      </c>
      <c r="H300" s="90">
        <f t="shared" si="47"/>
        <v>116088.97</v>
      </c>
      <c r="I300" s="90">
        <f t="shared" si="54"/>
        <v>78.680000000000007</v>
      </c>
      <c r="J300" s="90">
        <f t="shared" si="55"/>
        <v>99.36</v>
      </c>
      <c r="L300" s="11"/>
    </row>
    <row r="301" spans="1:12" s="17" customFormat="1" ht="46.8" x14ac:dyDescent="0.3">
      <c r="A301" s="2" t="s">
        <v>111</v>
      </c>
      <c r="B301" s="12" t="s">
        <v>46</v>
      </c>
      <c r="C301" s="12" t="s">
        <v>220</v>
      </c>
      <c r="D301" s="27" t="s">
        <v>26</v>
      </c>
      <c r="E301" s="20">
        <f>E302</f>
        <v>148390716.28</v>
      </c>
      <c r="F301" s="20">
        <f>F302</f>
        <v>148390716.28</v>
      </c>
      <c r="G301" s="20">
        <f>G302</f>
        <v>103292587.16</v>
      </c>
      <c r="H301" s="20">
        <f t="shared" si="47"/>
        <v>45098129.119999997</v>
      </c>
      <c r="I301" s="20">
        <f t="shared" si="54"/>
        <v>69.61</v>
      </c>
      <c r="J301" s="20">
        <f t="shared" si="55"/>
        <v>69.61</v>
      </c>
      <c r="L301" s="11"/>
    </row>
    <row r="302" spans="1:12" s="17" customFormat="1" ht="15.6" x14ac:dyDescent="0.3">
      <c r="A302" s="2" t="s">
        <v>130</v>
      </c>
      <c r="B302" s="12" t="s">
        <v>46</v>
      </c>
      <c r="C302" s="12" t="s">
        <v>220</v>
      </c>
      <c r="D302" s="27" t="s">
        <v>131</v>
      </c>
      <c r="E302" s="20">
        <v>148390716.28</v>
      </c>
      <c r="F302" s="20">
        <v>148390716.28</v>
      </c>
      <c r="G302" s="20">
        <v>103292587.16</v>
      </c>
      <c r="H302" s="20">
        <f t="shared" si="47"/>
        <v>45098129.119999997</v>
      </c>
      <c r="I302" s="20">
        <f t="shared" si="54"/>
        <v>69.61</v>
      </c>
      <c r="J302" s="20">
        <f t="shared" si="55"/>
        <v>69.61</v>
      </c>
      <c r="L302" s="11"/>
    </row>
    <row r="303" spans="1:12" s="17" customFormat="1" ht="93.6" x14ac:dyDescent="0.3">
      <c r="A303" s="2" t="s">
        <v>115</v>
      </c>
      <c r="B303" s="12" t="s">
        <v>46</v>
      </c>
      <c r="C303" s="12" t="s">
        <v>221</v>
      </c>
      <c r="D303" s="27" t="s">
        <v>26</v>
      </c>
      <c r="E303" s="20">
        <f>E304</f>
        <v>10097827.699999999</v>
      </c>
      <c r="F303" s="20">
        <f>F304</f>
        <v>33322569.300000001</v>
      </c>
      <c r="G303" s="20">
        <f>G304</f>
        <v>33255436.870000001</v>
      </c>
      <c r="H303" s="20">
        <f t="shared" si="47"/>
        <v>67132.429999999993</v>
      </c>
      <c r="I303" s="20">
        <f t="shared" si="54"/>
        <v>329.33</v>
      </c>
      <c r="J303" s="20">
        <f t="shared" si="55"/>
        <v>99.8</v>
      </c>
      <c r="L303" s="11"/>
    </row>
    <row r="304" spans="1:12" s="17" customFormat="1" ht="15.6" x14ac:dyDescent="0.3">
      <c r="A304" s="2" t="s">
        <v>130</v>
      </c>
      <c r="B304" s="12" t="s">
        <v>46</v>
      </c>
      <c r="C304" s="12" t="s">
        <v>221</v>
      </c>
      <c r="D304" s="27" t="s">
        <v>131</v>
      </c>
      <c r="E304" s="20">
        <f>10097827.7</f>
        <v>10097827.699999999</v>
      </c>
      <c r="F304" s="20">
        <f>10097827.7+17684530+5540211.6</f>
        <v>33322569.300000001</v>
      </c>
      <c r="G304" s="20">
        <v>33255436.870000001</v>
      </c>
      <c r="H304" s="20">
        <f t="shared" si="47"/>
        <v>67132.429999999993</v>
      </c>
      <c r="I304" s="20">
        <f t="shared" si="54"/>
        <v>329.33</v>
      </c>
      <c r="J304" s="20">
        <f t="shared" si="55"/>
        <v>99.8</v>
      </c>
      <c r="L304" s="11"/>
    </row>
    <row r="305" spans="1:12" s="17" customFormat="1" ht="109.2" x14ac:dyDescent="0.3">
      <c r="A305" s="50" t="s">
        <v>268</v>
      </c>
      <c r="B305" s="12" t="s">
        <v>46</v>
      </c>
      <c r="C305" s="12" t="s">
        <v>222</v>
      </c>
      <c r="D305" s="27" t="s">
        <v>26</v>
      </c>
      <c r="E305" s="13">
        <f>E306</f>
        <v>203888682</v>
      </c>
      <c r="F305" s="13">
        <f>F306</f>
        <v>203888682</v>
      </c>
      <c r="G305" s="13">
        <f>G306</f>
        <v>160864390.88999999</v>
      </c>
      <c r="H305" s="13">
        <f t="shared" si="47"/>
        <v>43024291.109999999</v>
      </c>
      <c r="I305" s="13">
        <f t="shared" si="54"/>
        <v>78.900000000000006</v>
      </c>
      <c r="J305" s="13">
        <f t="shared" si="55"/>
        <v>78.900000000000006</v>
      </c>
      <c r="L305" s="11"/>
    </row>
    <row r="306" spans="1:12" s="17" customFormat="1" ht="15.6" x14ac:dyDescent="0.3">
      <c r="A306" s="2" t="s">
        <v>130</v>
      </c>
      <c r="B306" s="12" t="s">
        <v>46</v>
      </c>
      <c r="C306" s="12" t="s">
        <v>222</v>
      </c>
      <c r="D306" s="27" t="s">
        <v>131</v>
      </c>
      <c r="E306" s="29">
        <v>203888682</v>
      </c>
      <c r="F306" s="29">
        <v>203888682</v>
      </c>
      <c r="G306" s="29">
        <v>160864390.88999999</v>
      </c>
      <c r="H306" s="29">
        <f t="shared" si="47"/>
        <v>43024291.109999999</v>
      </c>
      <c r="I306" s="29">
        <f t="shared" si="54"/>
        <v>78.900000000000006</v>
      </c>
      <c r="J306" s="29">
        <f t="shared" si="55"/>
        <v>78.900000000000006</v>
      </c>
      <c r="L306" s="11"/>
    </row>
    <row r="307" spans="1:12" s="17" customFormat="1" ht="31.2" x14ac:dyDescent="0.3">
      <c r="A307" s="49" t="s">
        <v>308</v>
      </c>
      <c r="B307" s="12" t="s">
        <v>46</v>
      </c>
      <c r="C307" s="12" t="s">
        <v>307</v>
      </c>
      <c r="D307" s="27" t="s">
        <v>26</v>
      </c>
      <c r="E307" s="13">
        <f>E308+E310+E312</f>
        <v>23260100</v>
      </c>
      <c r="F307" s="13">
        <f>F308+F310+F312</f>
        <v>25023000</v>
      </c>
      <c r="G307" s="13">
        <f>G308+G310+G312</f>
        <v>14665157.32</v>
      </c>
      <c r="H307" s="13">
        <f t="shared" si="47"/>
        <v>10357842.68</v>
      </c>
      <c r="I307" s="13">
        <f t="shared" si="54"/>
        <v>63.05</v>
      </c>
      <c r="J307" s="13">
        <f t="shared" si="55"/>
        <v>58.61</v>
      </c>
      <c r="L307" s="11"/>
    </row>
    <row r="308" spans="1:12" s="6" customFormat="1" ht="31.2" x14ac:dyDescent="0.25">
      <c r="A308" s="2" t="s">
        <v>313</v>
      </c>
      <c r="B308" s="12" t="s">
        <v>46</v>
      </c>
      <c r="C308" s="26" t="s">
        <v>312</v>
      </c>
      <c r="D308" s="27" t="s">
        <v>26</v>
      </c>
      <c r="E308" s="13">
        <f>E309</f>
        <v>475000</v>
      </c>
      <c r="F308" s="13">
        <f>F309</f>
        <v>475000</v>
      </c>
      <c r="G308" s="13">
        <f>G309</f>
        <v>338350</v>
      </c>
      <c r="H308" s="13">
        <f t="shared" si="47"/>
        <v>136650</v>
      </c>
      <c r="I308" s="13">
        <f t="shared" si="54"/>
        <v>71.23</v>
      </c>
      <c r="J308" s="13">
        <f t="shared" si="55"/>
        <v>71.23</v>
      </c>
      <c r="L308" s="11"/>
    </row>
    <row r="309" spans="1:12" s="6" customFormat="1" ht="15.6" x14ac:dyDescent="0.25">
      <c r="A309" s="2" t="s">
        <v>130</v>
      </c>
      <c r="B309" s="12" t="s">
        <v>46</v>
      </c>
      <c r="C309" s="26" t="s">
        <v>312</v>
      </c>
      <c r="D309" s="27" t="s">
        <v>131</v>
      </c>
      <c r="E309" s="90">
        <v>475000</v>
      </c>
      <c r="F309" s="90">
        <v>475000</v>
      </c>
      <c r="G309" s="90">
        <v>338350</v>
      </c>
      <c r="H309" s="90">
        <f t="shared" si="47"/>
        <v>136650</v>
      </c>
      <c r="I309" s="90">
        <f t="shared" si="54"/>
        <v>71.23</v>
      </c>
      <c r="J309" s="90">
        <f t="shared" si="55"/>
        <v>71.23</v>
      </c>
      <c r="L309" s="11"/>
    </row>
    <row r="310" spans="1:12" s="6" customFormat="1" ht="62.4" x14ac:dyDescent="0.25">
      <c r="A310" s="2" t="s">
        <v>271</v>
      </c>
      <c r="B310" s="12" t="s">
        <v>46</v>
      </c>
      <c r="C310" s="26" t="s">
        <v>310</v>
      </c>
      <c r="D310" s="27" t="s">
        <v>26</v>
      </c>
      <c r="E310" s="13">
        <f>E311</f>
        <v>6673350</v>
      </c>
      <c r="F310" s="13">
        <f>F311</f>
        <v>6673350</v>
      </c>
      <c r="G310" s="13">
        <f>G311</f>
        <v>4341467.32</v>
      </c>
      <c r="H310" s="13">
        <f t="shared" si="47"/>
        <v>2331882.6800000002</v>
      </c>
      <c r="I310" s="13">
        <f t="shared" si="54"/>
        <v>65.06</v>
      </c>
      <c r="J310" s="13">
        <f t="shared" si="55"/>
        <v>65.06</v>
      </c>
      <c r="L310" s="11"/>
    </row>
    <row r="311" spans="1:12" s="6" customFormat="1" ht="18" x14ac:dyDescent="0.25">
      <c r="A311" s="2" t="s">
        <v>130</v>
      </c>
      <c r="B311" s="12" t="s">
        <v>46</v>
      </c>
      <c r="C311" s="26" t="s">
        <v>310</v>
      </c>
      <c r="D311" s="27" t="s">
        <v>131</v>
      </c>
      <c r="E311" s="95">
        <v>6673350</v>
      </c>
      <c r="F311" s="95">
        <v>6673350</v>
      </c>
      <c r="G311" s="95">
        <v>4341467.32</v>
      </c>
      <c r="H311" s="95">
        <f t="shared" si="47"/>
        <v>2331882.6800000002</v>
      </c>
      <c r="I311" s="95">
        <f t="shared" si="54"/>
        <v>65.06</v>
      </c>
      <c r="J311" s="95">
        <f t="shared" si="55"/>
        <v>65.06</v>
      </c>
      <c r="L311" s="11"/>
    </row>
    <row r="312" spans="1:12" s="17" customFormat="1" ht="78" x14ac:dyDescent="0.3">
      <c r="A312" s="1" t="s">
        <v>273</v>
      </c>
      <c r="B312" s="12" t="s">
        <v>46</v>
      </c>
      <c r="C312" s="26" t="s">
        <v>311</v>
      </c>
      <c r="D312" s="27" t="s">
        <v>26</v>
      </c>
      <c r="E312" s="13">
        <f>E313</f>
        <v>16111750</v>
      </c>
      <c r="F312" s="13">
        <f>F313</f>
        <v>17874650</v>
      </c>
      <c r="G312" s="13">
        <f>G313</f>
        <v>9985340</v>
      </c>
      <c r="H312" s="13">
        <f t="shared" si="47"/>
        <v>7889310</v>
      </c>
      <c r="I312" s="13">
        <f t="shared" si="54"/>
        <v>61.98</v>
      </c>
      <c r="J312" s="13">
        <f t="shared" si="55"/>
        <v>55.86</v>
      </c>
      <c r="L312" s="11"/>
    </row>
    <row r="313" spans="1:12" s="17" customFormat="1" ht="15.6" x14ac:dyDescent="0.3">
      <c r="A313" s="2" t="s">
        <v>130</v>
      </c>
      <c r="B313" s="12" t="s">
        <v>46</v>
      </c>
      <c r="C313" s="26" t="s">
        <v>311</v>
      </c>
      <c r="D313" s="27" t="s">
        <v>131</v>
      </c>
      <c r="E313" s="29">
        <f>16111750</f>
        <v>16111750</v>
      </c>
      <c r="F313" s="29">
        <f>16111750+1762900</f>
        <v>17874650</v>
      </c>
      <c r="G313" s="29">
        <v>9985340</v>
      </c>
      <c r="H313" s="29">
        <f t="shared" si="47"/>
        <v>7889310</v>
      </c>
      <c r="I313" s="29">
        <f t="shared" si="54"/>
        <v>61.98</v>
      </c>
      <c r="J313" s="29">
        <f t="shared" si="55"/>
        <v>55.86</v>
      </c>
      <c r="L313" s="11"/>
    </row>
    <row r="314" spans="1:12" s="17" customFormat="1" ht="78" x14ac:dyDescent="0.3">
      <c r="A314" s="2" t="s">
        <v>314</v>
      </c>
      <c r="B314" s="12" t="s">
        <v>46</v>
      </c>
      <c r="C314" s="12" t="s">
        <v>315</v>
      </c>
      <c r="D314" s="27" t="s">
        <v>26</v>
      </c>
      <c r="E314" s="13">
        <f>E323+E325+E315+E317+E319+E321</f>
        <v>57983043.539999999</v>
      </c>
      <c r="F314" s="13">
        <f>F323+F325+F315+F317+F319+F321</f>
        <v>3030303.04</v>
      </c>
      <c r="G314" s="13">
        <f>G323+G325+G315+G317+G319+G321</f>
        <v>2650189.27</v>
      </c>
      <c r="H314" s="13">
        <f t="shared" si="47"/>
        <v>380113.77</v>
      </c>
      <c r="I314" s="13">
        <f t="shared" si="54"/>
        <v>4.57</v>
      </c>
      <c r="J314" s="13">
        <f t="shared" si="55"/>
        <v>87.46</v>
      </c>
      <c r="L314" s="11"/>
    </row>
    <row r="315" spans="1:12" s="17" customFormat="1" ht="62.4" x14ac:dyDescent="0.3">
      <c r="A315" s="1" t="s">
        <v>534</v>
      </c>
      <c r="B315" s="12" t="s">
        <v>46</v>
      </c>
      <c r="C315" s="1" t="s">
        <v>535</v>
      </c>
      <c r="D315" s="27" t="s">
        <v>26</v>
      </c>
      <c r="E315" s="91">
        <f>E316</f>
        <v>0</v>
      </c>
      <c r="F315" s="91">
        <f>F316</f>
        <v>1500000</v>
      </c>
      <c r="G315" s="91">
        <f>G316</f>
        <v>1192499.3799999999</v>
      </c>
      <c r="H315" s="91">
        <f t="shared" si="47"/>
        <v>307500.62</v>
      </c>
      <c r="I315" s="91" t="s">
        <v>559</v>
      </c>
      <c r="J315" s="91">
        <f t="shared" si="55"/>
        <v>79.5</v>
      </c>
      <c r="L315" s="11"/>
    </row>
    <row r="316" spans="1:12" s="17" customFormat="1" ht="15.6" x14ac:dyDescent="0.3">
      <c r="A316" s="2" t="s">
        <v>130</v>
      </c>
      <c r="B316" s="12" t="s">
        <v>46</v>
      </c>
      <c r="C316" s="1" t="s">
        <v>535</v>
      </c>
      <c r="D316" s="27" t="s">
        <v>131</v>
      </c>
      <c r="E316" s="13">
        <v>0</v>
      </c>
      <c r="F316" s="13">
        <v>1500000</v>
      </c>
      <c r="G316" s="13">
        <v>1192499.3799999999</v>
      </c>
      <c r="H316" s="13">
        <f t="shared" si="47"/>
        <v>307500.62</v>
      </c>
      <c r="I316" s="13" t="s">
        <v>559</v>
      </c>
      <c r="J316" s="13">
        <f t="shared" si="55"/>
        <v>79.5</v>
      </c>
      <c r="L316" s="11"/>
    </row>
    <row r="317" spans="1:12" s="17" customFormat="1" ht="78" x14ac:dyDescent="0.3">
      <c r="A317" s="1" t="s">
        <v>539</v>
      </c>
      <c r="B317" s="12" t="s">
        <v>46</v>
      </c>
      <c r="C317" s="1" t="s">
        <v>535</v>
      </c>
      <c r="D317" s="27" t="s">
        <v>26</v>
      </c>
      <c r="E317" s="13">
        <f>E318</f>
        <v>0</v>
      </c>
      <c r="F317" s="13">
        <f>F318</f>
        <v>15151.52</v>
      </c>
      <c r="G317" s="13">
        <f>G318</f>
        <v>12045.46</v>
      </c>
      <c r="H317" s="13">
        <f t="shared" si="47"/>
        <v>3106.06</v>
      </c>
      <c r="I317" s="13" t="s">
        <v>559</v>
      </c>
      <c r="J317" s="13">
        <f t="shared" si="55"/>
        <v>79.5</v>
      </c>
      <c r="L317" s="11"/>
    </row>
    <row r="318" spans="1:12" s="6" customFormat="1" ht="15.6" x14ac:dyDescent="0.25">
      <c r="A318" s="2" t="s">
        <v>130</v>
      </c>
      <c r="B318" s="12" t="s">
        <v>46</v>
      </c>
      <c r="C318" s="1" t="s">
        <v>535</v>
      </c>
      <c r="D318" s="27" t="s">
        <v>131</v>
      </c>
      <c r="E318" s="20">
        <v>0</v>
      </c>
      <c r="F318" s="20">
        <v>15151.52</v>
      </c>
      <c r="G318" s="20">
        <v>12045.46</v>
      </c>
      <c r="H318" s="20">
        <f t="shared" si="47"/>
        <v>3106.06</v>
      </c>
      <c r="I318" s="20" t="s">
        <v>559</v>
      </c>
      <c r="J318" s="20">
        <f t="shared" si="55"/>
        <v>79.5</v>
      </c>
      <c r="L318" s="11"/>
    </row>
    <row r="319" spans="1:12" s="6" customFormat="1" ht="62.4" x14ac:dyDescent="0.25">
      <c r="A319" s="1" t="s">
        <v>537</v>
      </c>
      <c r="B319" s="12" t="s">
        <v>46</v>
      </c>
      <c r="C319" s="1" t="s">
        <v>536</v>
      </c>
      <c r="D319" s="27" t="s">
        <v>26</v>
      </c>
      <c r="E319" s="13">
        <f>E320</f>
        <v>0</v>
      </c>
      <c r="F319" s="13">
        <f>F320</f>
        <v>1284506.49</v>
      </c>
      <c r="G319" s="13">
        <f>G320</f>
        <v>1214999.3999999999</v>
      </c>
      <c r="H319" s="13">
        <f t="shared" si="47"/>
        <v>69507.09</v>
      </c>
      <c r="I319" s="13" t="s">
        <v>559</v>
      </c>
      <c r="J319" s="13">
        <f t="shared" si="55"/>
        <v>94.59</v>
      </c>
      <c r="L319" s="11"/>
    </row>
    <row r="320" spans="1:12" s="6" customFormat="1" ht="15.6" x14ac:dyDescent="0.25">
      <c r="A320" s="2" t="s">
        <v>130</v>
      </c>
      <c r="B320" s="12" t="s">
        <v>46</v>
      </c>
      <c r="C320" s="1" t="s">
        <v>536</v>
      </c>
      <c r="D320" s="27" t="s">
        <v>131</v>
      </c>
      <c r="E320" s="13">
        <v>0</v>
      </c>
      <c r="F320" s="13">
        <v>1284506.49</v>
      </c>
      <c r="G320" s="13">
        <v>1214999.3999999999</v>
      </c>
      <c r="H320" s="13">
        <f t="shared" si="47"/>
        <v>69507.09</v>
      </c>
      <c r="I320" s="13" t="s">
        <v>559</v>
      </c>
      <c r="J320" s="13">
        <f t="shared" si="55"/>
        <v>94.59</v>
      </c>
      <c r="L320" s="11"/>
    </row>
    <row r="321" spans="1:12" s="6" customFormat="1" ht="78" x14ac:dyDescent="0.25">
      <c r="A321" s="1" t="s">
        <v>538</v>
      </c>
      <c r="B321" s="12" t="s">
        <v>46</v>
      </c>
      <c r="C321" s="1" t="s">
        <v>536</v>
      </c>
      <c r="D321" s="27" t="s">
        <v>26</v>
      </c>
      <c r="E321" s="13">
        <f>E322</f>
        <v>0</v>
      </c>
      <c r="F321" s="13">
        <f>F322</f>
        <v>230645.03</v>
      </c>
      <c r="G321" s="13">
        <f>G322</f>
        <v>230645.03</v>
      </c>
      <c r="H321" s="13">
        <f t="shared" si="47"/>
        <v>0</v>
      </c>
      <c r="I321" s="13" t="s">
        <v>559</v>
      </c>
      <c r="J321" s="13">
        <f t="shared" si="55"/>
        <v>100</v>
      </c>
      <c r="L321" s="11"/>
    </row>
    <row r="322" spans="1:12" s="6" customFormat="1" ht="15.6" x14ac:dyDescent="0.25">
      <c r="A322" s="2" t="s">
        <v>130</v>
      </c>
      <c r="B322" s="12" t="s">
        <v>46</v>
      </c>
      <c r="C322" s="1" t="s">
        <v>536</v>
      </c>
      <c r="D322" s="27" t="s">
        <v>131</v>
      </c>
      <c r="E322" s="20">
        <v>0</v>
      </c>
      <c r="F322" s="20">
        <v>230645.03</v>
      </c>
      <c r="G322" s="20">
        <v>230645.03</v>
      </c>
      <c r="H322" s="20">
        <f t="shared" si="47"/>
        <v>0</v>
      </c>
      <c r="I322" s="20" t="s">
        <v>559</v>
      </c>
      <c r="J322" s="20">
        <f t="shared" si="55"/>
        <v>100</v>
      </c>
      <c r="L322" s="11"/>
    </row>
    <row r="323" spans="1:12" s="6" customFormat="1" ht="31.2" x14ac:dyDescent="0.25">
      <c r="A323" s="1" t="s">
        <v>243</v>
      </c>
      <c r="B323" s="12" t="s">
        <v>46</v>
      </c>
      <c r="C323" s="1" t="s">
        <v>316</v>
      </c>
      <c r="D323" s="27" t="s">
        <v>26</v>
      </c>
      <c r="E323" s="13">
        <f>E324</f>
        <v>55083891.359999999</v>
      </c>
      <c r="F323" s="13">
        <f>F324</f>
        <v>0</v>
      </c>
      <c r="G323" s="13">
        <f>G324</f>
        <v>0</v>
      </c>
      <c r="H323" s="13">
        <f t="shared" si="47"/>
        <v>0</v>
      </c>
      <c r="I323" s="13">
        <f>$G323/$E323*100</f>
        <v>0</v>
      </c>
      <c r="J323" s="13" t="s">
        <v>559</v>
      </c>
      <c r="L323" s="11"/>
    </row>
    <row r="324" spans="1:12" s="17" customFormat="1" ht="15.6" x14ac:dyDescent="0.3">
      <c r="A324" s="2" t="s">
        <v>130</v>
      </c>
      <c r="B324" s="12" t="s">
        <v>46</v>
      </c>
      <c r="C324" s="1" t="s">
        <v>316</v>
      </c>
      <c r="D324" s="27" t="s">
        <v>131</v>
      </c>
      <c r="E324" s="13">
        <f>55083891.36</f>
        <v>55083891.359999999</v>
      </c>
      <c r="F324" s="13">
        <f>55083891.36-55083891.36</f>
        <v>0</v>
      </c>
      <c r="G324" s="13">
        <f>55083891.36-55083891.36</f>
        <v>0</v>
      </c>
      <c r="H324" s="13">
        <f t="shared" si="47"/>
        <v>0</v>
      </c>
      <c r="I324" s="13">
        <f>$G324/$E324*100</f>
        <v>0</v>
      </c>
      <c r="J324" s="13" t="s">
        <v>559</v>
      </c>
      <c r="L324" s="11"/>
    </row>
    <row r="325" spans="1:12" s="17" customFormat="1" ht="46.8" x14ac:dyDescent="0.3">
      <c r="A325" s="1" t="s">
        <v>244</v>
      </c>
      <c r="B325" s="12" t="s">
        <v>46</v>
      </c>
      <c r="C325" s="1" t="s">
        <v>316</v>
      </c>
      <c r="D325" s="27" t="s">
        <v>26</v>
      </c>
      <c r="E325" s="13">
        <f>E326</f>
        <v>2899152.18</v>
      </c>
      <c r="F325" s="13">
        <f>F326</f>
        <v>0</v>
      </c>
      <c r="G325" s="13">
        <f>G326</f>
        <v>0</v>
      </c>
      <c r="H325" s="13">
        <f t="shared" ref="H325:H385" si="56">$F325-$G325</f>
        <v>0</v>
      </c>
      <c r="I325" s="13">
        <f>$G325/$E325*100</f>
        <v>0</v>
      </c>
      <c r="J325" s="13" t="s">
        <v>559</v>
      </c>
      <c r="L325" s="11"/>
    </row>
    <row r="326" spans="1:12" s="6" customFormat="1" ht="15.6" x14ac:dyDescent="0.25">
      <c r="A326" s="2" t="s">
        <v>130</v>
      </c>
      <c r="B326" s="12" t="s">
        <v>46</v>
      </c>
      <c r="C326" s="1" t="s">
        <v>316</v>
      </c>
      <c r="D326" s="27" t="s">
        <v>131</v>
      </c>
      <c r="E326" s="20">
        <f>2899152.18</f>
        <v>2899152.18</v>
      </c>
      <c r="F326" s="20">
        <f>2899152.18-2899152.18</f>
        <v>0</v>
      </c>
      <c r="G326" s="20">
        <f>2899152.18-2899152.18</f>
        <v>0</v>
      </c>
      <c r="H326" s="20">
        <f t="shared" si="56"/>
        <v>0</v>
      </c>
      <c r="I326" s="20">
        <f>$G326/$E326*100</f>
        <v>0</v>
      </c>
      <c r="J326" s="20" t="s">
        <v>559</v>
      </c>
      <c r="L326" s="11"/>
    </row>
    <row r="327" spans="1:12" s="17" customFormat="1" ht="78" x14ac:dyDescent="0.3">
      <c r="A327" s="49" t="s">
        <v>501</v>
      </c>
      <c r="B327" s="12" t="s">
        <v>46</v>
      </c>
      <c r="C327" s="12" t="s">
        <v>461</v>
      </c>
      <c r="D327" s="27" t="s">
        <v>26</v>
      </c>
      <c r="E327" s="13">
        <f>E331+E328</f>
        <v>150000</v>
      </c>
      <c r="F327" s="13">
        <f>F331+F328</f>
        <v>0</v>
      </c>
      <c r="G327" s="13">
        <f>G331+G328</f>
        <v>0</v>
      </c>
      <c r="H327" s="13">
        <f t="shared" si="56"/>
        <v>0</v>
      </c>
      <c r="I327" s="13">
        <f>$G327/$E327*100</f>
        <v>0</v>
      </c>
      <c r="J327" s="13" t="s">
        <v>559</v>
      </c>
      <c r="L327" s="11"/>
    </row>
    <row r="328" spans="1:12" s="6" customFormat="1" ht="124.8" x14ac:dyDescent="0.25">
      <c r="A328" s="2" t="s">
        <v>553</v>
      </c>
      <c r="B328" s="12" t="s">
        <v>46</v>
      </c>
      <c r="C328" s="14" t="s">
        <v>463</v>
      </c>
      <c r="D328" s="27" t="s">
        <v>26</v>
      </c>
      <c r="E328" s="20">
        <f>E329</f>
        <v>0</v>
      </c>
      <c r="F328" s="20">
        <f>F329</f>
        <v>0</v>
      </c>
      <c r="G328" s="20">
        <f>G329</f>
        <v>0</v>
      </c>
      <c r="H328" s="20">
        <f t="shared" si="56"/>
        <v>0</v>
      </c>
      <c r="I328" s="20" t="s">
        <v>559</v>
      </c>
      <c r="J328" s="20" t="s">
        <v>559</v>
      </c>
      <c r="L328" s="11"/>
    </row>
    <row r="329" spans="1:12" s="6" customFormat="1" ht="15.6" x14ac:dyDescent="0.25">
      <c r="A329" s="2" t="s">
        <v>130</v>
      </c>
      <c r="B329" s="12" t="s">
        <v>46</v>
      </c>
      <c r="C329" s="14" t="s">
        <v>463</v>
      </c>
      <c r="D329" s="27" t="s">
        <v>131</v>
      </c>
      <c r="E329" s="20">
        <f>150000-150000</f>
        <v>0</v>
      </c>
      <c r="F329" s="20">
        <f>150000-150000</f>
        <v>0</v>
      </c>
      <c r="G329" s="20">
        <f>150000-150000</f>
        <v>0</v>
      </c>
      <c r="H329" s="20">
        <f t="shared" si="56"/>
        <v>0</v>
      </c>
      <c r="I329" s="20" t="s">
        <v>559</v>
      </c>
      <c r="J329" s="20" t="s">
        <v>559</v>
      </c>
      <c r="L329" s="11"/>
    </row>
    <row r="330" spans="1:12" s="6" customFormat="1" ht="93.6" x14ac:dyDescent="0.25">
      <c r="A330" s="2" t="s">
        <v>462</v>
      </c>
      <c r="B330" s="12" t="s">
        <v>46</v>
      </c>
      <c r="C330" s="14" t="s">
        <v>463</v>
      </c>
      <c r="D330" s="27" t="s">
        <v>26</v>
      </c>
      <c r="E330" s="20">
        <f>E331</f>
        <v>150000</v>
      </c>
      <c r="F330" s="20">
        <f>F331</f>
        <v>0</v>
      </c>
      <c r="G330" s="20">
        <f>G331</f>
        <v>0</v>
      </c>
      <c r="H330" s="20">
        <f t="shared" si="56"/>
        <v>0</v>
      </c>
      <c r="I330" s="20">
        <f t="shared" ref="I330:I362" si="57">$G330/$E330*100</f>
        <v>0</v>
      </c>
      <c r="J330" s="20" t="s">
        <v>559</v>
      </c>
      <c r="L330" s="11"/>
    </row>
    <row r="331" spans="1:12" s="6" customFormat="1" ht="15.6" x14ac:dyDescent="0.25">
      <c r="A331" s="2" t="s">
        <v>130</v>
      </c>
      <c r="B331" s="12" t="s">
        <v>46</v>
      </c>
      <c r="C331" s="14" t="s">
        <v>463</v>
      </c>
      <c r="D331" s="27" t="s">
        <v>131</v>
      </c>
      <c r="E331" s="20">
        <f>150000</f>
        <v>150000</v>
      </c>
      <c r="F331" s="20">
        <f>150000-150000</f>
        <v>0</v>
      </c>
      <c r="G331" s="20">
        <f>150000-150000</f>
        <v>0</v>
      </c>
      <c r="H331" s="20">
        <f t="shared" si="56"/>
        <v>0</v>
      </c>
      <c r="I331" s="20">
        <f t="shared" si="57"/>
        <v>0</v>
      </c>
      <c r="J331" s="20" t="s">
        <v>559</v>
      </c>
      <c r="L331" s="11"/>
    </row>
    <row r="332" spans="1:12" s="6" customFormat="1" ht="15.6" x14ac:dyDescent="0.3">
      <c r="A332" s="35" t="s">
        <v>491</v>
      </c>
      <c r="B332" s="14" t="s">
        <v>46</v>
      </c>
      <c r="C332" s="14" t="s">
        <v>174</v>
      </c>
      <c r="D332" s="14" t="s">
        <v>26</v>
      </c>
      <c r="E332" s="20">
        <f t="shared" ref="E332:G334" si="58">E333</f>
        <v>2597240.1</v>
      </c>
      <c r="F332" s="20">
        <f t="shared" si="58"/>
        <v>2141956.7999999998</v>
      </c>
      <c r="G332" s="20">
        <f t="shared" si="58"/>
        <v>1828279.13</v>
      </c>
      <c r="H332" s="20">
        <f t="shared" si="56"/>
        <v>313677.67</v>
      </c>
      <c r="I332" s="20">
        <f t="shared" si="57"/>
        <v>70.39</v>
      </c>
      <c r="J332" s="20">
        <f t="shared" ref="J332:J362" si="59">$G332/$F332*100</f>
        <v>85.36</v>
      </c>
      <c r="L332" s="11"/>
    </row>
    <row r="333" spans="1:12" s="6" customFormat="1" ht="46.8" x14ac:dyDescent="0.25">
      <c r="A333" s="1" t="s">
        <v>317</v>
      </c>
      <c r="B333" s="27" t="s">
        <v>46</v>
      </c>
      <c r="C333" s="51" t="s">
        <v>464</v>
      </c>
      <c r="D333" s="27" t="s">
        <v>26</v>
      </c>
      <c r="E333" s="13">
        <f t="shared" si="58"/>
        <v>2597240.1</v>
      </c>
      <c r="F333" s="13">
        <f t="shared" si="58"/>
        <v>2141956.7999999998</v>
      </c>
      <c r="G333" s="13">
        <f t="shared" si="58"/>
        <v>1828279.13</v>
      </c>
      <c r="H333" s="13">
        <f t="shared" si="56"/>
        <v>313677.67</v>
      </c>
      <c r="I333" s="13">
        <f t="shared" si="57"/>
        <v>70.39</v>
      </c>
      <c r="J333" s="13">
        <f t="shared" si="59"/>
        <v>85.36</v>
      </c>
      <c r="L333" s="11"/>
    </row>
    <row r="334" spans="1:12" s="17" customFormat="1" ht="78" x14ac:dyDescent="0.3">
      <c r="A334" s="35" t="s">
        <v>282</v>
      </c>
      <c r="B334" s="12" t="s">
        <v>46</v>
      </c>
      <c r="C334" s="37" t="s">
        <v>465</v>
      </c>
      <c r="D334" s="12" t="s">
        <v>26</v>
      </c>
      <c r="E334" s="13">
        <f t="shared" si="58"/>
        <v>2597240.1</v>
      </c>
      <c r="F334" s="13">
        <f t="shared" si="58"/>
        <v>2141956.7999999998</v>
      </c>
      <c r="G334" s="13">
        <f t="shared" si="58"/>
        <v>1828279.13</v>
      </c>
      <c r="H334" s="13">
        <f t="shared" si="56"/>
        <v>313677.67</v>
      </c>
      <c r="I334" s="13">
        <f t="shared" si="57"/>
        <v>70.39</v>
      </c>
      <c r="J334" s="13">
        <f t="shared" si="59"/>
        <v>85.36</v>
      </c>
      <c r="L334" s="11"/>
    </row>
    <row r="335" spans="1:12" s="17" customFormat="1" ht="15.6" x14ac:dyDescent="0.3">
      <c r="A335" s="2" t="s">
        <v>130</v>
      </c>
      <c r="B335" s="12" t="s">
        <v>46</v>
      </c>
      <c r="C335" s="37" t="s">
        <v>465</v>
      </c>
      <c r="D335" s="12" t="s">
        <v>131</v>
      </c>
      <c r="E335" s="90">
        <f>2597240.1</f>
        <v>2597240.1</v>
      </c>
      <c r="F335" s="90">
        <f>2597240.1-60097.62-395185.68</f>
        <v>2141956.7999999998</v>
      </c>
      <c r="G335" s="90">
        <v>1828279.13</v>
      </c>
      <c r="H335" s="90">
        <f t="shared" si="56"/>
        <v>313677.67</v>
      </c>
      <c r="I335" s="90">
        <f t="shared" si="57"/>
        <v>70.39</v>
      </c>
      <c r="J335" s="90">
        <f t="shared" si="59"/>
        <v>85.36</v>
      </c>
      <c r="L335" s="11"/>
    </row>
    <row r="336" spans="1:12" s="17" customFormat="1" ht="15.6" x14ac:dyDescent="0.3">
      <c r="A336" s="35" t="s">
        <v>325</v>
      </c>
      <c r="B336" s="14" t="s">
        <v>231</v>
      </c>
      <c r="C336" s="14" t="s">
        <v>146</v>
      </c>
      <c r="D336" s="14" t="s">
        <v>26</v>
      </c>
      <c r="E336" s="20">
        <f t="shared" ref="E336:G340" si="60">E337</f>
        <v>11512930</v>
      </c>
      <c r="F336" s="20">
        <f t="shared" si="60"/>
        <v>10928688</v>
      </c>
      <c r="G336" s="20">
        <f t="shared" si="60"/>
        <v>7118914.3799999999</v>
      </c>
      <c r="H336" s="20">
        <f t="shared" si="56"/>
        <v>3809773.62</v>
      </c>
      <c r="I336" s="20">
        <f t="shared" si="57"/>
        <v>61.83</v>
      </c>
      <c r="J336" s="20">
        <f t="shared" si="59"/>
        <v>65.14</v>
      </c>
      <c r="L336" s="11"/>
    </row>
    <row r="337" spans="1:12" s="17" customFormat="1" ht="46.8" x14ac:dyDescent="0.3">
      <c r="A337" s="35" t="s">
        <v>496</v>
      </c>
      <c r="B337" s="14" t="s">
        <v>231</v>
      </c>
      <c r="C337" s="14" t="s">
        <v>0</v>
      </c>
      <c r="D337" s="14" t="s">
        <v>26</v>
      </c>
      <c r="E337" s="20">
        <f t="shared" si="60"/>
        <v>11512930</v>
      </c>
      <c r="F337" s="20">
        <f t="shared" si="60"/>
        <v>10928688</v>
      </c>
      <c r="G337" s="20">
        <f t="shared" si="60"/>
        <v>7118914.3799999999</v>
      </c>
      <c r="H337" s="20">
        <f t="shared" si="56"/>
        <v>3809773.62</v>
      </c>
      <c r="I337" s="20">
        <f t="shared" si="57"/>
        <v>61.83</v>
      </c>
      <c r="J337" s="20">
        <f t="shared" si="59"/>
        <v>65.14</v>
      </c>
      <c r="L337" s="11"/>
    </row>
    <row r="338" spans="1:12" s="17" customFormat="1" ht="62.4" x14ac:dyDescent="0.3">
      <c r="A338" s="35" t="s">
        <v>497</v>
      </c>
      <c r="B338" s="14" t="s">
        <v>231</v>
      </c>
      <c r="C338" s="14" t="s">
        <v>1</v>
      </c>
      <c r="D338" s="14" t="s">
        <v>26</v>
      </c>
      <c r="E338" s="20">
        <f t="shared" si="60"/>
        <v>11512930</v>
      </c>
      <c r="F338" s="20">
        <f t="shared" si="60"/>
        <v>10928688</v>
      </c>
      <c r="G338" s="20">
        <f t="shared" si="60"/>
        <v>7118914.3799999999</v>
      </c>
      <c r="H338" s="20">
        <f t="shared" si="56"/>
        <v>3809773.62</v>
      </c>
      <c r="I338" s="20">
        <f t="shared" si="57"/>
        <v>61.83</v>
      </c>
      <c r="J338" s="20">
        <f t="shared" si="59"/>
        <v>65.14</v>
      </c>
      <c r="L338" s="11"/>
    </row>
    <row r="339" spans="1:12" s="17" customFormat="1" ht="31.2" x14ac:dyDescent="0.3">
      <c r="A339" s="1" t="s">
        <v>318</v>
      </c>
      <c r="B339" s="14" t="s">
        <v>231</v>
      </c>
      <c r="C339" s="14" t="s">
        <v>287</v>
      </c>
      <c r="D339" s="14" t="s">
        <v>26</v>
      </c>
      <c r="E339" s="20">
        <f t="shared" si="60"/>
        <v>11512930</v>
      </c>
      <c r="F339" s="20">
        <f t="shared" si="60"/>
        <v>10928688</v>
      </c>
      <c r="G339" s="20">
        <f t="shared" si="60"/>
        <v>7118914.3799999999</v>
      </c>
      <c r="H339" s="20">
        <f t="shared" si="56"/>
        <v>3809773.62</v>
      </c>
      <c r="I339" s="20">
        <f t="shared" si="57"/>
        <v>61.83</v>
      </c>
      <c r="J339" s="20">
        <f t="shared" si="59"/>
        <v>65.14</v>
      </c>
      <c r="L339" s="11"/>
    </row>
    <row r="340" spans="1:12" s="17" customFormat="1" ht="46.8" x14ac:dyDescent="0.3">
      <c r="A340" s="2" t="s">
        <v>288</v>
      </c>
      <c r="B340" s="28" t="s">
        <v>231</v>
      </c>
      <c r="C340" s="28" t="s">
        <v>240</v>
      </c>
      <c r="D340" s="28" t="s">
        <v>26</v>
      </c>
      <c r="E340" s="20">
        <f t="shared" si="60"/>
        <v>11512930</v>
      </c>
      <c r="F340" s="20">
        <f t="shared" si="60"/>
        <v>10928688</v>
      </c>
      <c r="G340" s="20">
        <f t="shared" si="60"/>
        <v>7118914.3799999999</v>
      </c>
      <c r="H340" s="20">
        <f t="shared" si="56"/>
        <v>3809773.62</v>
      </c>
      <c r="I340" s="20">
        <f t="shared" si="57"/>
        <v>61.83</v>
      </c>
      <c r="J340" s="20">
        <f t="shared" si="59"/>
        <v>65.14</v>
      </c>
      <c r="L340" s="11"/>
    </row>
    <row r="341" spans="1:12" s="17" customFormat="1" ht="15.6" x14ac:dyDescent="0.3">
      <c r="A341" s="2" t="s">
        <v>130</v>
      </c>
      <c r="B341" s="28" t="s">
        <v>231</v>
      </c>
      <c r="C341" s="28" t="s">
        <v>240</v>
      </c>
      <c r="D341" s="28" t="s">
        <v>131</v>
      </c>
      <c r="E341" s="20">
        <f>11512930</f>
        <v>11512930</v>
      </c>
      <c r="F341" s="20">
        <f>11512930+80000-1444242+780000</f>
        <v>10928688</v>
      </c>
      <c r="G341" s="20">
        <v>7118914.3799999999</v>
      </c>
      <c r="H341" s="20">
        <f t="shared" si="56"/>
        <v>3809773.62</v>
      </c>
      <c r="I341" s="20">
        <f t="shared" si="57"/>
        <v>61.83</v>
      </c>
      <c r="J341" s="20">
        <f t="shared" si="59"/>
        <v>65.14</v>
      </c>
      <c r="L341" s="11"/>
    </row>
    <row r="342" spans="1:12" s="17" customFormat="1" ht="15.6" x14ac:dyDescent="0.3">
      <c r="A342" s="2" t="s">
        <v>326</v>
      </c>
      <c r="B342" s="12" t="s">
        <v>83</v>
      </c>
      <c r="C342" s="12" t="s">
        <v>146</v>
      </c>
      <c r="D342" s="12" t="s">
        <v>26</v>
      </c>
      <c r="E342" s="13">
        <f>E344</f>
        <v>5668425</v>
      </c>
      <c r="F342" s="13">
        <f>F344</f>
        <v>5968425</v>
      </c>
      <c r="G342" s="13">
        <f>G344</f>
        <v>5125303.5199999996</v>
      </c>
      <c r="H342" s="13">
        <f t="shared" si="56"/>
        <v>843121.48</v>
      </c>
      <c r="I342" s="13">
        <f t="shared" si="57"/>
        <v>90.42</v>
      </c>
      <c r="J342" s="13">
        <f t="shared" si="59"/>
        <v>85.87</v>
      </c>
      <c r="L342" s="11"/>
    </row>
    <row r="343" spans="1:12" s="6" customFormat="1" ht="46.8" x14ac:dyDescent="0.25">
      <c r="A343" s="2" t="s">
        <v>496</v>
      </c>
      <c r="B343" s="12" t="s">
        <v>83</v>
      </c>
      <c r="C343" s="12" t="s">
        <v>0</v>
      </c>
      <c r="D343" s="12" t="s">
        <v>26</v>
      </c>
      <c r="E343" s="13">
        <f t="shared" ref="E343:G343" si="61">E344</f>
        <v>5668425</v>
      </c>
      <c r="F343" s="13">
        <f t="shared" si="61"/>
        <v>5968425</v>
      </c>
      <c r="G343" s="13">
        <f t="shared" si="61"/>
        <v>5125303.5199999996</v>
      </c>
      <c r="H343" s="13">
        <f t="shared" si="56"/>
        <v>843121.48</v>
      </c>
      <c r="I343" s="13">
        <f t="shared" si="57"/>
        <v>90.42</v>
      </c>
      <c r="J343" s="13">
        <f t="shared" si="59"/>
        <v>85.87</v>
      </c>
      <c r="L343" s="11"/>
    </row>
    <row r="344" spans="1:12" s="6" customFormat="1" ht="46.8" x14ac:dyDescent="0.3">
      <c r="A344" s="35" t="s">
        <v>502</v>
      </c>
      <c r="B344" s="14" t="s">
        <v>83</v>
      </c>
      <c r="C344" s="14" t="s">
        <v>1</v>
      </c>
      <c r="D344" s="14" t="s">
        <v>26</v>
      </c>
      <c r="E344" s="20">
        <f>E345+E351</f>
        <v>5668425</v>
      </c>
      <c r="F344" s="20">
        <f t="shared" ref="F344:G344" si="62">F345+F351</f>
        <v>5968425</v>
      </c>
      <c r="G344" s="20">
        <f t="shared" si="62"/>
        <v>5125303.5199999996</v>
      </c>
      <c r="H344" s="20">
        <f t="shared" si="56"/>
        <v>843121.48</v>
      </c>
      <c r="I344" s="20">
        <f t="shared" si="57"/>
        <v>90.42</v>
      </c>
      <c r="J344" s="20">
        <f t="shared" si="59"/>
        <v>85.87</v>
      </c>
      <c r="L344" s="11"/>
    </row>
    <row r="345" spans="1:12" s="6" customFormat="1" ht="46.8" x14ac:dyDescent="0.3">
      <c r="A345" s="35" t="s">
        <v>320</v>
      </c>
      <c r="B345" s="14" t="s">
        <v>83</v>
      </c>
      <c r="C345" s="14" t="s">
        <v>319</v>
      </c>
      <c r="D345" s="14" t="s">
        <v>26</v>
      </c>
      <c r="E345" s="20">
        <f>E346+E349</f>
        <v>5063425</v>
      </c>
      <c r="F345" s="20">
        <f>F346+F349</f>
        <v>5363425</v>
      </c>
      <c r="G345" s="20">
        <f>G346+G349</f>
        <v>4880302.22</v>
      </c>
      <c r="H345" s="20">
        <f t="shared" si="56"/>
        <v>483122.78</v>
      </c>
      <c r="I345" s="20">
        <f t="shared" si="57"/>
        <v>96.38</v>
      </c>
      <c r="J345" s="20">
        <f t="shared" si="59"/>
        <v>90.99</v>
      </c>
      <c r="L345" s="11"/>
    </row>
    <row r="346" spans="1:12" s="6" customFormat="1" ht="46.8" x14ac:dyDescent="0.25">
      <c r="A346" s="1" t="s">
        <v>270</v>
      </c>
      <c r="B346" s="12" t="s">
        <v>83</v>
      </c>
      <c r="C346" s="12" t="s">
        <v>20</v>
      </c>
      <c r="D346" s="12" t="s">
        <v>26</v>
      </c>
      <c r="E346" s="13">
        <f>E347+E348</f>
        <v>2533925</v>
      </c>
      <c r="F346" s="13">
        <f>F347+F348</f>
        <v>2533925</v>
      </c>
      <c r="G346" s="13">
        <f>G347+G348</f>
        <v>2479925</v>
      </c>
      <c r="H346" s="13">
        <f t="shared" si="56"/>
        <v>54000</v>
      </c>
      <c r="I346" s="13">
        <f t="shared" si="57"/>
        <v>97.87</v>
      </c>
      <c r="J346" s="13">
        <f t="shared" si="59"/>
        <v>97.87</v>
      </c>
      <c r="L346" s="11"/>
    </row>
    <row r="347" spans="1:12" s="6" customFormat="1" ht="31.2" x14ac:dyDescent="0.25">
      <c r="A347" s="2" t="s">
        <v>128</v>
      </c>
      <c r="B347" s="12" t="s">
        <v>83</v>
      </c>
      <c r="C347" s="12" t="s">
        <v>20</v>
      </c>
      <c r="D347" s="12" t="s">
        <v>129</v>
      </c>
      <c r="E347" s="13">
        <v>150000</v>
      </c>
      <c r="F347" s="13">
        <v>150000</v>
      </c>
      <c r="G347" s="13">
        <v>109850.6</v>
      </c>
      <c r="H347" s="13">
        <f t="shared" si="56"/>
        <v>40149.4</v>
      </c>
      <c r="I347" s="13">
        <f t="shared" si="57"/>
        <v>73.23</v>
      </c>
      <c r="J347" s="13">
        <f t="shared" si="59"/>
        <v>73.23</v>
      </c>
      <c r="L347" s="11"/>
    </row>
    <row r="348" spans="1:12" s="6" customFormat="1" ht="15.6" x14ac:dyDescent="0.25">
      <c r="A348" s="2" t="s">
        <v>130</v>
      </c>
      <c r="B348" s="12" t="s">
        <v>83</v>
      </c>
      <c r="C348" s="12" t="s">
        <v>20</v>
      </c>
      <c r="D348" s="12" t="s">
        <v>131</v>
      </c>
      <c r="E348" s="90">
        <v>2383925</v>
      </c>
      <c r="F348" s="90">
        <v>2383925</v>
      </c>
      <c r="G348" s="90">
        <v>2370074.4</v>
      </c>
      <c r="H348" s="90">
        <f t="shared" si="56"/>
        <v>13850.6</v>
      </c>
      <c r="I348" s="90">
        <f t="shared" si="57"/>
        <v>99.42</v>
      </c>
      <c r="J348" s="90">
        <f t="shared" si="59"/>
        <v>99.42</v>
      </c>
      <c r="L348" s="11"/>
    </row>
    <row r="349" spans="1:12" s="6" customFormat="1" ht="46.8" x14ac:dyDescent="0.25">
      <c r="A349" s="52" t="s">
        <v>322</v>
      </c>
      <c r="B349" s="12" t="s">
        <v>83</v>
      </c>
      <c r="C349" s="12" t="s">
        <v>321</v>
      </c>
      <c r="D349" s="12" t="s">
        <v>26</v>
      </c>
      <c r="E349" s="20">
        <f>E350</f>
        <v>2529500</v>
      </c>
      <c r="F349" s="20">
        <f>F350</f>
        <v>2829500</v>
      </c>
      <c r="G349" s="20">
        <f>G350</f>
        <v>2400377.2200000002</v>
      </c>
      <c r="H349" s="20">
        <f t="shared" si="56"/>
        <v>429122.78</v>
      </c>
      <c r="I349" s="20">
        <f t="shared" si="57"/>
        <v>94.9</v>
      </c>
      <c r="J349" s="20">
        <f t="shared" si="59"/>
        <v>84.83</v>
      </c>
      <c r="L349" s="11"/>
    </row>
    <row r="350" spans="1:12" s="6" customFormat="1" ht="15.6" x14ac:dyDescent="0.25">
      <c r="A350" s="2" t="s">
        <v>130</v>
      </c>
      <c r="B350" s="12" t="s">
        <v>83</v>
      </c>
      <c r="C350" s="12" t="s">
        <v>321</v>
      </c>
      <c r="D350" s="12" t="s">
        <v>131</v>
      </c>
      <c r="E350" s="20">
        <f>2529500</f>
        <v>2529500</v>
      </c>
      <c r="F350" s="20">
        <f>2529500+300000</f>
        <v>2829500</v>
      </c>
      <c r="G350" s="20">
        <v>2400377.2200000002</v>
      </c>
      <c r="H350" s="20">
        <f t="shared" si="56"/>
        <v>429122.78</v>
      </c>
      <c r="I350" s="20">
        <f t="shared" si="57"/>
        <v>94.9</v>
      </c>
      <c r="J350" s="20">
        <f t="shared" si="59"/>
        <v>84.83</v>
      </c>
      <c r="L350" s="11"/>
    </row>
    <row r="351" spans="1:12" s="17" customFormat="1" ht="62.4" x14ac:dyDescent="0.3">
      <c r="A351" s="35" t="s">
        <v>498</v>
      </c>
      <c r="B351" s="12" t="s">
        <v>83</v>
      </c>
      <c r="C351" s="14" t="s">
        <v>423</v>
      </c>
      <c r="D351" s="14" t="s">
        <v>26</v>
      </c>
      <c r="E351" s="20">
        <f t="shared" ref="E351:G352" si="63">E352</f>
        <v>605000</v>
      </c>
      <c r="F351" s="20">
        <f t="shared" si="63"/>
        <v>605000</v>
      </c>
      <c r="G351" s="20">
        <f t="shared" si="63"/>
        <v>245001.3</v>
      </c>
      <c r="H351" s="20">
        <f>$F351-$G351</f>
        <v>359998.7</v>
      </c>
      <c r="I351" s="20">
        <f>$G351/$E351*100</f>
        <v>40.5</v>
      </c>
      <c r="J351" s="20">
        <f>$G351/$F351*100</f>
        <v>40.5</v>
      </c>
      <c r="L351" s="11"/>
    </row>
    <row r="352" spans="1:12" s="17" customFormat="1" ht="15.6" x14ac:dyDescent="0.3">
      <c r="A352" s="2" t="s">
        <v>104</v>
      </c>
      <c r="B352" s="12" t="s">
        <v>83</v>
      </c>
      <c r="C352" s="2" t="s">
        <v>422</v>
      </c>
      <c r="D352" s="12" t="s">
        <v>26</v>
      </c>
      <c r="E352" s="13">
        <f t="shared" si="63"/>
        <v>605000</v>
      </c>
      <c r="F352" s="13">
        <f t="shared" si="63"/>
        <v>605000</v>
      </c>
      <c r="G352" s="13">
        <f t="shared" si="63"/>
        <v>245001.3</v>
      </c>
      <c r="H352" s="13">
        <f>$F352-$G352</f>
        <v>359998.7</v>
      </c>
      <c r="I352" s="13">
        <f>$G352/$E352*100</f>
        <v>40.5</v>
      </c>
      <c r="J352" s="13">
        <f>$G352/$F352*100</f>
        <v>40.5</v>
      </c>
      <c r="L352" s="11"/>
    </row>
    <row r="353" spans="1:12" s="17" customFormat="1" ht="31.2" x14ac:dyDescent="0.3">
      <c r="A353" s="15" t="s">
        <v>117</v>
      </c>
      <c r="B353" s="12" t="s">
        <v>83</v>
      </c>
      <c r="C353" s="2" t="s">
        <v>422</v>
      </c>
      <c r="D353" s="12" t="s">
        <v>118</v>
      </c>
      <c r="E353" s="20">
        <v>605000</v>
      </c>
      <c r="F353" s="20">
        <v>605000</v>
      </c>
      <c r="G353" s="20">
        <v>245001.3</v>
      </c>
      <c r="H353" s="20">
        <f>$F353-$G353</f>
        <v>359998.7</v>
      </c>
      <c r="I353" s="20">
        <f>$G353/$E353*100</f>
        <v>40.5</v>
      </c>
      <c r="J353" s="20">
        <f>$G353/$F353*100</f>
        <v>40.5</v>
      </c>
      <c r="L353" s="11"/>
    </row>
    <row r="354" spans="1:12" s="6" customFormat="1" ht="15.6" x14ac:dyDescent="0.25">
      <c r="A354" s="12" t="s">
        <v>32</v>
      </c>
      <c r="B354" s="27" t="s">
        <v>47</v>
      </c>
      <c r="C354" s="27" t="s">
        <v>146</v>
      </c>
      <c r="D354" s="27" t="s">
        <v>26</v>
      </c>
      <c r="E354" s="13">
        <f>E356</f>
        <v>39138334.689999998</v>
      </c>
      <c r="F354" s="13">
        <f>F356</f>
        <v>45290820.710000001</v>
      </c>
      <c r="G354" s="13">
        <f>G356</f>
        <v>30804703.859999999</v>
      </c>
      <c r="H354" s="13">
        <f t="shared" si="56"/>
        <v>14486116.85</v>
      </c>
      <c r="I354" s="13">
        <f t="shared" si="57"/>
        <v>78.709999999999994</v>
      </c>
      <c r="J354" s="13">
        <f t="shared" si="59"/>
        <v>68.02</v>
      </c>
      <c r="L354" s="11"/>
    </row>
    <row r="355" spans="1:12" s="6" customFormat="1" ht="46.8" x14ac:dyDescent="0.25">
      <c r="A355" s="2" t="s">
        <v>496</v>
      </c>
      <c r="B355" s="12" t="s">
        <v>47</v>
      </c>
      <c r="C355" s="12" t="s">
        <v>0</v>
      </c>
      <c r="D355" s="12" t="s">
        <v>26</v>
      </c>
      <c r="E355" s="13">
        <f>E356</f>
        <v>39138334.689999998</v>
      </c>
      <c r="F355" s="13">
        <f>F356</f>
        <v>45290820.710000001</v>
      </c>
      <c r="G355" s="13">
        <f>G356</f>
        <v>30804703.859999999</v>
      </c>
      <c r="H355" s="13">
        <f t="shared" si="56"/>
        <v>14486116.85</v>
      </c>
      <c r="I355" s="13">
        <f t="shared" si="57"/>
        <v>78.709999999999994</v>
      </c>
      <c r="J355" s="13">
        <f t="shared" si="59"/>
        <v>68.02</v>
      </c>
      <c r="L355" s="11"/>
    </row>
    <row r="356" spans="1:12" s="6" customFormat="1" ht="31.2" x14ac:dyDescent="0.25">
      <c r="A356" s="2" t="s">
        <v>323</v>
      </c>
      <c r="B356" s="12" t="s">
        <v>47</v>
      </c>
      <c r="C356" s="12" t="s">
        <v>21</v>
      </c>
      <c r="D356" s="27" t="s">
        <v>26</v>
      </c>
      <c r="E356" s="91">
        <f>E358</f>
        <v>39138334.689999998</v>
      </c>
      <c r="F356" s="91">
        <f>F358</f>
        <v>45290820.710000001</v>
      </c>
      <c r="G356" s="91">
        <f>G358</f>
        <v>30804703.859999999</v>
      </c>
      <c r="H356" s="91">
        <f t="shared" si="56"/>
        <v>14486116.85</v>
      </c>
      <c r="I356" s="91">
        <f t="shared" si="57"/>
        <v>78.709999999999994</v>
      </c>
      <c r="J356" s="91">
        <f t="shared" si="59"/>
        <v>68.02</v>
      </c>
      <c r="L356" s="11"/>
    </row>
    <row r="357" spans="1:12" s="6" customFormat="1" ht="62.4" x14ac:dyDescent="0.25">
      <c r="A357" s="1" t="s">
        <v>474</v>
      </c>
      <c r="B357" s="14" t="s">
        <v>47</v>
      </c>
      <c r="C357" s="14" t="s">
        <v>324</v>
      </c>
      <c r="D357" s="14" t="s">
        <v>26</v>
      </c>
      <c r="E357" s="20">
        <f>E358</f>
        <v>39138334.689999998</v>
      </c>
      <c r="F357" s="20">
        <f>F358</f>
        <v>45290820.710000001</v>
      </c>
      <c r="G357" s="20">
        <f>G358</f>
        <v>30804703.859999999</v>
      </c>
      <c r="H357" s="20">
        <f t="shared" si="56"/>
        <v>14486116.85</v>
      </c>
      <c r="I357" s="20">
        <f t="shared" si="57"/>
        <v>78.709999999999994</v>
      </c>
      <c r="J357" s="20">
        <f t="shared" si="59"/>
        <v>68.02</v>
      </c>
      <c r="L357" s="11"/>
    </row>
    <row r="358" spans="1:12" s="6" customFormat="1" ht="46.8" x14ac:dyDescent="0.25">
      <c r="A358" s="2" t="s">
        <v>111</v>
      </c>
      <c r="B358" s="12" t="s">
        <v>47</v>
      </c>
      <c r="C358" s="12" t="s">
        <v>22</v>
      </c>
      <c r="D358" s="27" t="s">
        <v>26</v>
      </c>
      <c r="E358" s="13">
        <f>E359+E360+E361+E362+E363+E364</f>
        <v>39138334.689999998</v>
      </c>
      <c r="F358" s="13">
        <f>F359+F360+F361+F362+F363+F364</f>
        <v>45290820.710000001</v>
      </c>
      <c r="G358" s="13">
        <f>G359+G360+G361+G362+G363+G364</f>
        <v>30804703.859999999</v>
      </c>
      <c r="H358" s="13">
        <f t="shared" si="56"/>
        <v>14486116.85</v>
      </c>
      <c r="I358" s="13">
        <f t="shared" si="57"/>
        <v>78.709999999999994</v>
      </c>
      <c r="J358" s="13">
        <f t="shared" si="59"/>
        <v>68.02</v>
      </c>
      <c r="L358" s="11"/>
    </row>
    <row r="359" spans="1:12" s="6" customFormat="1" ht="15.6" x14ac:dyDescent="0.25">
      <c r="A359" s="73" t="s">
        <v>132</v>
      </c>
      <c r="B359" s="12" t="s">
        <v>47</v>
      </c>
      <c r="C359" s="12" t="s">
        <v>22</v>
      </c>
      <c r="D359" s="27" t="s">
        <v>133</v>
      </c>
      <c r="E359" s="20">
        <f>34225042.69</f>
        <v>34225042.689999998</v>
      </c>
      <c r="F359" s="20">
        <f>34225042.69+5733751.12</f>
        <v>39958793.810000002</v>
      </c>
      <c r="G359" s="20">
        <v>27475252.960000001</v>
      </c>
      <c r="H359" s="20">
        <f t="shared" si="56"/>
        <v>12483540.85</v>
      </c>
      <c r="I359" s="20">
        <f t="shared" si="57"/>
        <v>80.28</v>
      </c>
      <c r="J359" s="20">
        <f t="shared" si="59"/>
        <v>68.760000000000005</v>
      </c>
      <c r="L359" s="11"/>
    </row>
    <row r="360" spans="1:12" s="6" customFormat="1" ht="31.2" x14ac:dyDescent="0.25">
      <c r="A360" s="15" t="s">
        <v>117</v>
      </c>
      <c r="B360" s="12" t="s">
        <v>47</v>
      </c>
      <c r="C360" s="12" t="s">
        <v>22</v>
      </c>
      <c r="D360" s="27" t="s">
        <v>118</v>
      </c>
      <c r="E360" s="20">
        <f>4345092</f>
        <v>4345092</v>
      </c>
      <c r="F360" s="20">
        <f>4345092+349266</f>
        <v>4694358</v>
      </c>
      <c r="G360" s="20">
        <v>3169039.12</v>
      </c>
      <c r="H360" s="20">
        <f t="shared" si="56"/>
        <v>1525318.88</v>
      </c>
      <c r="I360" s="20">
        <f t="shared" si="57"/>
        <v>72.930000000000007</v>
      </c>
      <c r="J360" s="20">
        <f t="shared" si="59"/>
        <v>67.510000000000005</v>
      </c>
      <c r="L360" s="11"/>
    </row>
    <row r="361" spans="1:12" s="6" customFormat="1" ht="31.2" x14ac:dyDescent="0.25">
      <c r="A361" s="73" t="s">
        <v>128</v>
      </c>
      <c r="B361" s="12" t="s">
        <v>47</v>
      </c>
      <c r="C361" s="12" t="s">
        <v>22</v>
      </c>
      <c r="D361" s="27" t="s">
        <v>129</v>
      </c>
      <c r="E361" s="20">
        <v>470000</v>
      </c>
      <c r="F361" s="20">
        <v>470000</v>
      </c>
      <c r="G361" s="20">
        <v>0</v>
      </c>
      <c r="H361" s="20">
        <f t="shared" si="56"/>
        <v>470000</v>
      </c>
      <c r="I361" s="20">
        <f t="shared" si="57"/>
        <v>0</v>
      </c>
      <c r="J361" s="20">
        <f t="shared" si="59"/>
        <v>0</v>
      </c>
      <c r="L361" s="11"/>
    </row>
    <row r="362" spans="1:12" s="6" customFormat="1" ht="15.6" x14ac:dyDescent="0.25">
      <c r="A362" s="2" t="s">
        <v>186</v>
      </c>
      <c r="B362" s="12" t="s">
        <v>47</v>
      </c>
      <c r="C362" s="12" t="s">
        <v>22</v>
      </c>
      <c r="D362" s="27" t="s">
        <v>187</v>
      </c>
      <c r="E362" s="20">
        <v>80000</v>
      </c>
      <c r="F362" s="20">
        <v>80000</v>
      </c>
      <c r="G362" s="20">
        <v>75000</v>
      </c>
      <c r="H362" s="20">
        <f t="shared" si="56"/>
        <v>5000</v>
      </c>
      <c r="I362" s="20">
        <f t="shared" si="57"/>
        <v>93.75</v>
      </c>
      <c r="J362" s="20">
        <f t="shared" si="59"/>
        <v>93.75</v>
      </c>
      <c r="L362" s="11"/>
    </row>
    <row r="363" spans="1:12" s="6" customFormat="1" ht="15.6" x14ac:dyDescent="0.25">
      <c r="A363" s="37" t="s">
        <v>183</v>
      </c>
      <c r="B363" s="12" t="s">
        <v>47</v>
      </c>
      <c r="C363" s="12" t="s">
        <v>22</v>
      </c>
      <c r="D363" s="27" t="s">
        <v>123</v>
      </c>
      <c r="E363" s="20">
        <v>0</v>
      </c>
      <c r="F363" s="20">
        <v>0</v>
      </c>
      <c r="G363" s="20">
        <v>0</v>
      </c>
      <c r="H363" s="20">
        <f t="shared" si="56"/>
        <v>0</v>
      </c>
      <c r="I363" s="20" t="s">
        <v>559</v>
      </c>
      <c r="J363" s="20" t="s">
        <v>559</v>
      </c>
      <c r="L363" s="11"/>
    </row>
    <row r="364" spans="1:12" s="6" customFormat="1" ht="15.6" x14ac:dyDescent="0.25">
      <c r="A364" s="15" t="s">
        <v>121</v>
      </c>
      <c r="B364" s="12" t="s">
        <v>47</v>
      </c>
      <c r="C364" s="12" t="s">
        <v>22</v>
      </c>
      <c r="D364" s="27" t="s">
        <v>134</v>
      </c>
      <c r="E364" s="20">
        <f>18200</f>
        <v>18200</v>
      </c>
      <c r="F364" s="20">
        <f>18200+50960.17+18508.73</f>
        <v>87668.9</v>
      </c>
      <c r="G364" s="20">
        <v>85411.78</v>
      </c>
      <c r="H364" s="20">
        <f t="shared" si="56"/>
        <v>2257.12</v>
      </c>
      <c r="I364" s="20">
        <f t="shared" ref="I364:I389" si="64">$G364/$E364*100</f>
        <v>469.3</v>
      </c>
      <c r="J364" s="20">
        <f t="shared" ref="J364:J389" si="65">$G364/$F364*100</f>
        <v>97.43</v>
      </c>
      <c r="L364" s="11"/>
    </row>
    <row r="365" spans="1:12" s="6" customFormat="1" ht="15.6" x14ac:dyDescent="0.25">
      <c r="A365" s="8" t="s">
        <v>68</v>
      </c>
      <c r="B365" s="47" t="s">
        <v>50</v>
      </c>
      <c r="C365" s="47" t="s">
        <v>146</v>
      </c>
      <c r="D365" s="47" t="s">
        <v>26</v>
      </c>
      <c r="E365" s="16">
        <f>E366+E403</f>
        <v>88275862.560000002</v>
      </c>
      <c r="F365" s="16">
        <f>F366+F403</f>
        <v>110283804.95999999</v>
      </c>
      <c r="G365" s="16">
        <f>G366+G403</f>
        <v>85033987.019999996</v>
      </c>
      <c r="H365" s="16">
        <f t="shared" si="56"/>
        <v>25249817.940000001</v>
      </c>
      <c r="I365" s="16">
        <f t="shared" si="64"/>
        <v>96.33</v>
      </c>
      <c r="J365" s="16">
        <f t="shared" si="65"/>
        <v>77.099999999999994</v>
      </c>
      <c r="L365" s="11"/>
    </row>
    <row r="366" spans="1:12" s="6" customFormat="1" ht="15.6" x14ac:dyDescent="0.25">
      <c r="A366" s="12" t="s">
        <v>40</v>
      </c>
      <c r="B366" s="27" t="s">
        <v>38</v>
      </c>
      <c r="C366" s="27" t="s">
        <v>146</v>
      </c>
      <c r="D366" s="27" t="s">
        <v>26</v>
      </c>
      <c r="E366" s="13">
        <f>E367</f>
        <v>73263825.549999997</v>
      </c>
      <c r="F366" s="13">
        <f>F367</f>
        <v>95905697.790000007</v>
      </c>
      <c r="G366" s="13">
        <f>G367</f>
        <v>71978174.450000003</v>
      </c>
      <c r="H366" s="13">
        <f t="shared" si="56"/>
        <v>23927523.34</v>
      </c>
      <c r="I366" s="13">
        <f t="shared" si="64"/>
        <v>98.25</v>
      </c>
      <c r="J366" s="13">
        <f t="shared" si="65"/>
        <v>75.05</v>
      </c>
      <c r="L366" s="11"/>
    </row>
    <row r="367" spans="1:12" s="6" customFormat="1" ht="46.8" x14ac:dyDescent="0.25">
      <c r="A367" s="83" t="s">
        <v>334</v>
      </c>
      <c r="B367" s="27" t="s">
        <v>38</v>
      </c>
      <c r="C367" s="27" t="s">
        <v>10</v>
      </c>
      <c r="D367" s="27" t="s">
        <v>26</v>
      </c>
      <c r="E367" s="13">
        <f>E368+E377+E384</f>
        <v>73263825.549999997</v>
      </c>
      <c r="F367" s="13">
        <f>F368+F377+F384</f>
        <v>95905697.790000007</v>
      </c>
      <c r="G367" s="13">
        <f>G368+G377+G384</f>
        <v>71978174.450000003</v>
      </c>
      <c r="H367" s="13">
        <f t="shared" si="56"/>
        <v>23927523.34</v>
      </c>
      <c r="I367" s="13">
        <f t="shared" si="64"/>
        <v>98.25</v>
      </c>
      <c r="J367" s="13">
        <f t="shared" si="65"/>
        <v>75.05</v>
      </c>
      <c r="L367" s="11"/>
    </row>
    <row r="368" spans="1:12" s="6" customFormat="1" ht="46.8" x14ac:dyDescent="0.25">
      <c r="A368" s="1" t="s">
        <v>335</v>
      </c>
      <c r="B368" s="12" t="s">
        <v>38</v>
      </c>
      <c r="C368" s="12" t="s">
        <v>11</v>
      </c>
      <c r="D368" s="12" t="s">
        <v>26</v>
      </c>
      <c r="E368" s="13">
        <f t="shared" ref="E368:G369" si="66">E370+E375</f>
        <v>56738838.18</v>
      </c>
      <c r="F368" s="13">
        <f t="shared" si="66"/>
        <v>60245499.189999998</v>
      </c>
      <c r="G368" s="13">
        <f t="shared" si="66"/>
        <v>42970528.729999997</v>
      </c>
      <c r="H368" s="13">
        <f t="shared" si="56"/>
        <v>17274970.460000001</v>
      </c>
      <c r="I368" s="13">
        <f t="shared" si="64"/>
        <v>75.73</v>
      </c>
      <c r="J368" s="13">
        <f t="shared" si="65"/>
        <v>71.33</v>
      </c>
      <c r="L368" s="11"/>
    </row>
    <row r="369" spans="1:12" s="6" customFormat="1" ht="62.4" x14ac:dyDescent="0.25">
      <c r="A369" s="1" t="s">
        <v>486</v>
      </c>
      <c r="B369" s="12" t="s">
        <v>38</v>
      </c>
      <c r="C369" s="12" t="s">
        <v>336</v>
      </c>
      <c r="D369" s="12" t="s">
        <v>26</v>
      </c>
      <c r="E369" s="13">
        <f t="shared" si="66"/>
        <v>44856900</v>
      </c>
      <c r="F369" s="13">
        <f t="shared" si="66"/>
        <v>46046836.5</v>
      </c>
      <c r="G369" s="13">
        <f t="shared" si="66"/>
        <v>32862315.120000001</v>
      </c>
      <c r="H369" s="13">
        <f t="shared" si="56"/>
        <v>13184521.380000001</v>
      </c>
      <c r="I369" s="13">
        <f t="shared" si="64"/>
        <v>73.260000000000005</v>
      </c>
      <c r="J369" s="13">
        <f t="shared" si="65"/>
        <v>71.37</v>
      </c>
      <c r="L369" s="11"/>
    </row>
    <row r="370" spans="1:12" s="6" customFormat="1" ht="46.8" x14ac:dyDescent="0.25">
      <c r="A370" s="2" t="s">
        <v>111</v>
      </c>
      <c r="B370" s="12" t="s">
        <v>38</v>
      </c>
      <c r="C370" s="12" t="s">
        <v>12</v>
      </c>
      <c r="D370" s="12" t="s">
        <v>26</v>
      </c>
      <c r="E370" s="13">
        <f>E371+E372+E373+E374</f>
        <v>56338838.18</v>
      </c>
      <c r="F370" s="13">
        <f>F371+F372+F373+F374</f>
        <v>58499547.780000001</v>
      </c>
      <c r="G370" s="13">
        <f>G371+G372+G373+G374</f>
        <v>41880359.729999997</v>
      </c>
      <c r="H370" s="13">
        <f t="shared" si="56"/>
        <v>16619188.050000001</v>
      </c>
      <c r="I370" s="13">
        <f t="shared" si="64"/>
        <v>74.34</v>
      </c>
      <c r="J370" s="13">
        <f t="shared" si="65"/>
        <v>71.59</v>
      </c>
      <c r="L370" s="11"/>
    </row>
    <row r="371" spans="1:12" s="6" customFormat="1" ht="15.6" x14ac:dyDescent="0.25">
      <c r="A371" s="15" t="s">
        <v>132</v>
      </c>
      <c r="B371" s="12" t="s">
        <v>38</v>
      </c>
      <c r="C371" s="12" t="s">
        <v>12</v>
      </c>
      <c r="D371" s="12" t="s">
        <v>133</v>
      </c>
      <c r="E371" s="20">
        <v>44456900</v>
      </c>
      <c r="F371" s="20">
        <v>44300885.090000004</v>
      </c>
      <c r="G371" s="20">
        <v>31772146.120000001</v>
      </c>
      <c r="H371" s="20">
        <f t="shared" si="56"/>
        <v>12528738.970000001</v>
      </c>
      <c r="I371" s="20">
        <f t="shared" si="64"/>
        <v>71.47</v>
      </c>
      <c r="J371" s="20">
        <f t="shared" si="65"/>
        <v>71.72</v>
      </c>
      <c r="L371" s="11"/>
    </row>
    <row r="372" spans="1:12" s="6" customFormat="1" ht="31.2" x14ac:dyDescent="0.25">
      <c r="A372" s="15" t="s">
        <v>117</v>
      </c>
      <c r="B372" s="12" t="s">
        <v>38</v>
      </c>
      <c r="C372" s="12" t="s">
        <v>12</v>
      </c>
      <c r="D372" s="12" t="s">
        <v>118</v>
      </c>
      <c r="E372" s="20">
        <v>10061938.18</v>
      </c>
      <c r="F372" s="20">
        <f>10061938.18+1727500-1549145.66+833502.56+500000+1359000-554132.39</f>
        <v>12378662.689999999</v>
      </c>
      <c r="G372" s="20">
        <v>8768004.0099999998</v>
      </c>
      <c r="H372" s="20">
        <f t="shared" si="56"/>
        <v>3610658.68</v>
      </c>
      <c r="I372" s="20">
        <f t="shared" si="64"/>
        <v>87.14</v>
      </c>
      <c r="J372" s="20">
        <f t="shared" si="65"/>
        <v>70.83</v>
      </c>
      <c r="L372" s="11"/>
    </row>
    <row r="373" spans="1:12" s="6" customFormat="1" ht="15.6" x14ac:dyDescent="0.25">
      <c r="A373" s="2" t="s">
        <v>186</v>
      </c>
      <c r="B373" s="12" t="s">
        <v>38</v>
      </c>
      <c r="C373" s="12" t="s">
        <v>12</v>
      </c>
      <c r="D373" s="12" t="s">
        <v>187</v>
      </c>
      <c r="E373" s="20">
        <v>60000</v>
      </c>
      <c r="F373" s="20">
        <v>60000</v>
      </c>
      <c r="G373" s="20">
        <v>0</v>
      </c>
      <c r="H373" s="20">
        <f t="shared" si="56"/>
        <v>60000</v>
      </c>
      <c r="I373" s="20">
        <f t="shared" si="64"/>
        <v>0</v>
      </c>
      <c r="J373" s="20">
        <f t="shared" si="65"/>
        <v>0</v>
      </c>
      <c r="L373" s="11"/>
    </row>
    <row r="374" spans="1:12" s="6" customFormat="1" ht="15.6" x14ac:dyDescent="0.25">
      <c r="A374" s="15" t="s">
        <v>121</v>
      </c>
      <c r="B374" s="12" t="s">
        <v>38</v>
      </c>
      <c r="C374" s="12" t="s">
        <v>12</v>
      </c>
      <c r="D374" s="12" t="s">
        <v>134</v>
      </c>
      <c r="E374" s="20">
        <v>1760000</v>
      </c>
      <c r="F374" s="20">
        <v>1760000</v>
      </c>
      <c r="G374" s="20">
        <v>1340209.6000000001</v>
      </c>
      <c r="H374" s="20">
        <f t="shared" si="56"/>
        <v>419790.4</v>
      </c>
      <c r="I374" s="20">
        <f t="shared" si="64"/>
        <v>76.150000000000006</v>
      </c>
      <c r="J374" s="20">
        <f t="shared" si="65"/>
        <v>76.150000000000006</v>
      </c>
      <c r="L374" s="11"/>
    </row>
    <row r="375" spans="1:12" s="6" customFormat="1" ht="46.8" x14ac:dyDescent="0.25">
      <c r="A375" s="2" t="s">
        <v>116</v>
      </c>
      <c r="B375" s="12" t="s">
        <v>38</v>
      </c>
      <c r="C375" s="12" t="s">
        <v>13</v>
      </c>
      <c r="D375" s="12" t="s">
        <v>26</v>
      </c>
      <c r="E375" s="20">
        <f>E376</f>
        <v>400000</v>
      </c>
      <c r="F375" s="20">
        <f>F376</f>
        <v>1745951.41</v>
      </c>
      <c r="G375" s="20">
        <f>G376</f>
        <v>1090169</v>
      </c>
      <c r="H375" s="20">
        <f t="shared" si="56"/>
        <v>655782.41</v>
      </c>
      <c r="I375" s="20">
        <f t="shared" si="64"/>
        <v>272.54000000000002</v>
      </c>
      <c r="J375" s="20">
        <f t="shared" si="65"/>
        <v>62.44</v>
      </c>
      <c r="L375" s="11"/>
    </row>
    <row r="376" spans="1:12" s="6" customFormat="1" ht="31.2" x14ac:dyDescent="0.25">
      <c r="A376" s="15" t="s">
        <v>117</v>
      </c>
      <c r="B376" s="12" t="s">
        <v>38</v>
      </c>
      <c r="C376" s="12" t="s">
        <v>13</v>
      </c>
      <c r="D376" s="12" t="s">
        <v>118</v>
      </c>
      <c r="E376" s="20">
        <f>400000</f>
        <v>400000</v>
      </c>
      <c r="F376" s="20">
        <f>400000+1547000-201048.59</f>
        <v>1745951.41</v>
      </c>
      <c r="G376" s="20">
        <v>1090169</v>
      </c>
      <c r="H376" s="20">
        <f t="shared" si="56"/>
        <v>655782.41</v>
      </c>
      <c r="I376" s="20">
        <f t="shared" si="64"/>
        <v>272.54000000000002</v>
      </c>
      <c r="J376" s="20">
        <f t="shared" si="65"/>
        <v>62.44</v>
      </c>
      <c r="L376" s="11"/>
    </row>
    <row r="377" spans="1:12" s="6" customFormat="1" ht="78" x14ac:dyDescent="0.25">
      <c r="A377" s="2" t="s">
        <v>473</v>
      </c>
      <c r="B377" s="12" t="s">
        <v>38</v>
      </c>
      <c r="C377" s="12" t="s">
        <v>14</v>
      </c>
      <c r="D377" s="12" t="s">
        <v>26</v>
      </c>
      <c r="E377" s="18">
        <f>E379+E382</f>
        <v>14265280</v>
      </c>
      <c r="F377" s="18">
        <f>F379+F382</f>
        <v>13833671.289999999</v>
      </c>
      <c r="G377" s="18">
        <f>G379+G382</f>
        <v>9275139.9900000002</v>
      </c>
      <c r="H377" s="18">
        <f t="shared" si="56"/>
        <v>4558531.3</v>
      </c>
      <c r="I377" s="18">
        <f t="shared" si="64"/>
        <v>65.02</v>
      </c>
      <c r="J377" s="18">
        <f t="shared" si="65"/>
        <v>67.05</v>
      </c>
      <c r="L377" s="11"/>
    </row>
    <row r="378" spans="1:12" s="6" customFormat="1" ht="62.4" x14ac:dyDescent="0.25">
      <c r="A378" s="1" t="s">
        <v>486</v>
      </c>
      <c r="B378" s="12" t="s">
        <v>38</v>
      </c>
      <c r="C378" s="12" t="s">
        <v>337</v>
      </c>
      <c r="D378" s="12" t="s">
        <v>26</v>
      </c>
      <c r="E378" s="13">
        <f>E379+E382</f>
        <v>14265280</v>
      </c>
      <c r="F378" s="13">
        <f>F379+F382</f>
        <v>13833671.289999999</v>
      </c>
      <c r="G378" s="13">
        <f>G379+G382</f>
        <v>9275139.9900000002</v>
      </c>
      <c r="H378" s="13">
        <f t="shared" si="56"/>
        <v>4558531.3</v>
      </c>
      <c r="I378" s="13">
        <f t="shared" si="64"/>
        <v>65.02</v>
      </c>
      <c r="J378" s="13">
        <f t="shared" si="65"/>
        <v>67.05</v>
      </c>
      <c r="L378" s="11"/>
    </row>
    <row r="379" spans="1:12" s="6" customFormat="1" ht="46.8" x14ac:dyDescent="0.25">
      <c r="A379" s="2" t="s">
        <v>111</v>
      </c>
      <c r="B379" s="12" t="s">
        <v>38</v>
      </c>
      <c r="C379" s="27" t="s">
        <v>15</v>
      </c>
      <c r="D379" s="12" t="s">
        <v>26</v>
      </c>
      <c r="E379" s="13">
        <f>E380+E381</f>
        <v>14092080</v>
      </c>
      <c r="F379" s="13">
        <f>F380+F381</f>
        <v>13350172.289999999</v>
      </c>
      <c r="G379" s="13">
        <f>G380+G381</f>
        <v>9091041.9900000002</v>
      </c>
      <c r="H379" s="13">
        <f t="shared" si="56"/>
        <v>4259130.3</v>
      </c>
      <c r="I379" s="13">
        <f t="shared" si="64"/>
        <v>64.510000000000005</v>
      </c>
      <c r="J379" s="13">
        <f t="shared" si="65"/>
        <v>68.099999999999994</v>
      </c>
      <c r="L379" s="11"/>
    </row>
    <row r="380" spans="1:12" s="6" customFormat="1" ht="15.6" x14ac:dyDescent="0.25">
      <c r="A380" s="15" t="s">
        <v>132</v>
      </c>
      <c r="B380" s="12" t="s">
        <v>38</v>
      </c>
      <c r="C380" s="12" t="s">
        <v>15</v>
      </c>
      <c r="D380" s="12" t="s">
        <v>133</v>
      </c>
      <c r="E380" s="20">
        <v>10577200</v>
      </c>
      <c r="F380" s="20">
        <v>10577200</v>
      </c>
      <c r="G380" s="20">
        <v>7762629.0999999996</v>
      </c>
      <c r="H380" s="20">
        <f t="shared" si="56"/>
        <v>2814570.9</v>
      </c>
      <c r="I380" s="20">
        <f t="shared" si="64"/>
        <v>73.39</v>
      </c>
      <c r="J380" s="20">
        <f t="shared" si="65"/>
        <v>73.39</v>
      </c>
      <c r="L380" s="11"/>
    </row>
    <row r="381" spans="1:12" s="6" customFormat="1" ht="31.2" x14ac:dyDescent="0.25">
      <c r="A381" s="15" t="s">
        <v>117</v>
      </c>
      <c r="B381" s="12" t="s">
        <v>38</v>
      </c>
      <c r="C381" s="12" t="s">
        <v>15</v>
      </c>
      <c r="D381" s="12" t="s">
        <v>118</v>
      </c>
      <c r="E381" s="20">
        <f>3514880</f>
        <v>3514880</v>
      </c>
      <c r="F381" s="20">
        <v>2772972.29</v>
      </c>
      <c r="G381" s="20">
        <v>1328412.8899999999</v>
      </c>
      <c r="H381" s="20">
        <f t="shared" si="56"/>
        <v>1444559.4</v>
      </c>
      <c r="I381" s="20">
        <f t="shared" si="64"/>
        <v>37.79</v>
      </c>
      <c r="J381" s="20">
        <f t="shared" si="65"/>
        <v>47.91</v>
      </c>
      <c r="L381" s="11"/>
    </row>
    <row r="382" spans="1:12" s="6" customFormat="1" ht="46.8" x14ac:dyDescent="0.25">
      <c r="A382" s="2" t="s">
        <v>116</v>
      </c>
      <c r="B382" s="12" t="s">
        <v>38</v>
      </c>
      <c r="C382" s="12" t="s">
        <v>16</v>
      </c>
      <c r="D382" s="12" t="s">
        <v>26</v>
      </c>
      <c r="E382" s="20">
        <f>E383</f>
        <v>173200</v>
      </c>
      <c r="F382" s="20">
        <f>F383</f>
        <v>483499</v>
      </c>
      <c r="G382" s="20">
        <f>G383</f>
        <v>184098</v>
      </c>
      <c r="H382" s="20">
        <f t="shared" si="56"/>
        <v>299401</v>
      </c>
      <c r="I382" s="20">
        <f t="shared" si="64"/>
        <v>106.29</v>
      </c>
      <c r="J382" s="20">
        <f t="shared" si="65"/>
        <v>38.08</v>
      </c>
      <c r="L382" s="11"/>
    </row>
    <row r="383" spans="1:12" s="6" customFormat="1" ht="31.2" x14ac:dyDescent="0.25">
      <c r="A383" s="15" t="s">
        <v>117</v>
      </c>
      <c r="B383" s="12" t="s">
        <v>38</v>
      </c>
      <c r="C383" s="12" t="s">
        <v>16</v>
      </c>
      <c r="D383" s="12" t="s">
        <v>118</v>
      </c>
      <c r="E383" s="20">
        <f>173200</f>
        <v>173200</v>
      </c>
      <c r="F383" s="20">
        <v>483499</v>
      </c>
      <c r="G383" s="20">
        <v>184098</v>
      </c>
      <c r="H383" s="20">
        <f t="shared" si="56"/>
        <v>299401</v>
      </c>
      <c r="I383" s="20">
        <f t="shared" si="64"/>
        <v>106.29</v>
      </c>
      <c r="J383" s="20">
        <f t="shared" si="65"/>
        <v>38.08</v>
      </c>
      <c r="L383" s="11"/>
    </row>
    <row r="384" spans="1:12" s="6" customFormat="1" ht="31.2" x14ac:dyDescent="0.25">
      <c r="A384" s="24" t="s">
        <v>339</v>
      </c>
      <c r="B384" s="12" t="s">
        <v>38</v>
      </c>
      <c r="C384" s="12" t="s">
        <v>173</v>
      </c>
      <c r="D384" s="12" t="s">
        <v>26</v>
      </c>
      <c r="E384" s="13">
        <f>E385+E398</f>
        <v>2259707.37</v>
      </c>
      <c r="F384" s="13">
        <f>F385+F398</f>
        <v>21826527.309999999</v>
      </c>
      <c r="G384" s="13">
        <f>G385+G398</f>
        <v>19732505.73</v>
      </c>
      <c r="H384" s="13">
        <f t="shared" si="56"/>
        <v>2094021.58</v>
      </c>
      <c r="I384" s="13">
        <f t="shared" si="64"/>
        <v>873.23</v>
      </c>
      <c r="J384" s="13">
        <f t="shared" si="65"/>
        <v>90.41</v>
      </c>
      <c r="L384" s="11"/>
    </row>
    <row r="385" spans="1:12" s="6" customFormat="1" ht="46.8" x14ac:dyDescent="0.25">
      <c r="A385" s="24" t="s">
        <v>340</v>
      </c>
      <c r="B385" s="12" t="s">
        <v>38</v>
      </c>
      <c r="C385" s="12" t="s">
        <v>338</v>
      </c>
      <c r="D385" s="12" t="s">
        <v>26</v>
      </c>
      <c r="E385" s="13">
        <f>E386+E388+E390+E392+E394+E396</f>
        <v>2259707.37</v>
      </c>
      <c r="F385" s="13">
        <f>F386+F388+F390+F392+F394+F396</f>
        <v>2161709.62</v>
      </c>
      <c r="G385" s="13">
        <f>G386+G388+G390+G392+G394+G396</f>
        <v>2161709.62</v>
      </c>
      <c r="H385" s="13">
        <f t="shared" si="56"/>
        <v>0</v>
      </c>
      <c r="I385" s="13">
        <f t="shared" si="64"/>
        <v>95.66</v>
      </c>
      <c r="J385" s="13">
        <f t="shared" si="65"/>
        <v>100</v>
      </c>
      <c r="L385" s="11"/>
    </row>
    <row r="386" spans="1:12" s="6" customFormat="1" ht="62.4" x14ac:dyDescent="0.25">
      <c r="A386" s="24" t="s">
        <v>245</v>
      </c>
      <c r="B386" s="12" t="s">
        <v>38</v>
      </c>
      <c r="C386" s="26" t="s">
        <v>189</v>
      </c>
      <c r="D386" s="12" t="s">
        <v>26</v>
      </c>
      <c r="E386" s="20">
        <f>E387</f>
        <v>1978717</v>
      </c>
      <c r="F386" s="20">
        <f>F387</f>
        <v>1978717</v>
      </c>
      <c r="G386" s="20">
        <f>G387</f>
        <v>1978717</v>
      </c>
      <c r="H386" s="20">
        <f t="shared" ref="H386:H448" si="67">$F386-$G386</f>
        <v>0</v>
      </c>
      <c r="I386" s="20">
        <f t="shared" si="64"/>
        <v>100</v>
      </c>
      <c r="J386" s="20">
        <f t="shared" si="65"/>
        <v>100</v>
      </c>
      <c r="L386" s="11"/>
    </row>
    <row r="387" spans="1:12" s="17" customFormat="1" ht="31.2" x14ac:dyDescent="0.3">
      <c r="A387" s="15" t="s">
        <v>117</v>
      </c>
      <c r="B387" s="12" t="s">
        <v>38</v>
      </c>
      <c r="C387" s="26" t="s">
        <v>189</v>
      </c>
      <c r="D387" s="12" t="s">
        <v>118</v>
      </c>
      <c r="E387" s="20">
        <v>1978717</v>
      </c>
      <c r="F387" s="20">
        <v>1978717</v>
      </c>
      <c r="G387" s="20">
        <v>1978717</v>
      </c>
      <c r="H387" s="20">
        <f t="shared" si="67"/>
        <v>0</v>
      </c>
      <c r="I387" s="20">
        <f t="shared" si="64"/>
        <v>100</v>
      </c>
      <c r="J387" s="20">
        <f t="shared" si="65"/>
        <v>100</v>
      </c>
      <c r="L387" s="11"/>
    </row>
    <row r="388" spans="1:12" s="17" customFormat="1" ht="78" x14ac:dyDescent="0.3">
      <c r="A388" s="25" t="s">
        <v>188</v>
      </c>
      <c r="B388" s="12" t="s">
        <v>38</v>
      </c>
      <c r="C388" s="26" t="s">
        <v>189</v>
      </c>
      <c r="D388" s="12" t="s">
        <v>26</v>
      </c>
      <c r="E388" s="20">
        <f>E389</f>
        <v>104143</v>
      </c>
      <c r="F388" s="20">
        <f>F389</f>
        <v>9791.59</v>
      </c>
      <c r="G388" s="20">
        <f>G389</f>
        <v>9791.59</v>
      </c>
      <c r="H388" s="20">
        <f t="shared" si="67"/>
        <v>0</v>
      </c>
      <c r="I388" s="20">
        <f t="shared" si="64"/>
        <v>9.4</v>
      </c>
      <c r="J388" s="20">
        <f t="shared" si="65"/>
        <v>100</v>
      </c>
      <c r="L388" s="11"/>
    </row>
    <row r="389" spans="1:12" s="17" customFormat="1" ht="31.2" x14ac:dyDescent="0.3">
      <c r="A389" s="15" t="s">
        <v>117</v>
      </c>
      <c r="B389" s="12" t="s">
        <v>38</v>
      </c>
      <c r="C389" s="26" t="s">
        <v>189</v>
      </c>
      <c r="D389" s="12" t="s">
        <v>118</v>
      </c>
      <c r="E389" s="20">
        <f>104143</f>
        <v>104143</v>
      </c>
      <c r="F389" s="20">
        <f>104143-94351.41</f>
        <v>9791.59</v>
      </c>
      <c r="G389" s="20">
        <f>104143-94351.41</f>
        <v>9791.59</v>
      </c>
      <c r="H389" s="20">
        <f t="shared" si="67"/>
        <v>0</v>
      </c>
      <c r="I389" s="20">
        <f t="shared" si="64"/>
        <v>9.4</v>
      </c>
      <c r="J389" s="20">
        <f t="shared" si="65"/>
        <v>100</v>
      </c>
      <c r="L389" s="11"/>
    </row>
    <row r="390" spans="1:12" s="17" customFormat="1" ht="93.6" x14ac:dyDescent="0.3">
      <c r="A390" s="1" t="s">
        <v>247</v>
      </c>
      <c r="B390" s="12" t="s">
        <v>38</v>
      </c>
      <c r="C390" s="37" t="s">
        <v>248</v>
      </c>
      <c r="D390" s="12" t="s">
        <v>26</v>
      </c>
      <c r="E390" s="13">
        <f>E391</f>
        <v>0</v>
      </c>
      <c r="F390" s="13">
        <f>F391</f>
        <v>0</v>
      </c>
      <c r="G390" s="13">
        <f>G391</f>
        <v>0</v>
      </c>
      <c r="H390" s="13">
        <f t="shared" si="67"/>
        <v>0</v>
      </c>
      <c r="I390" s="13" t="s">
        <v>559</v>
      </c>
      <c r="J390" s="13" t="s">
        <v>559</v>
      </c>
      <c r="L390" s="11"/>
    </row>
    <row r="391" spans="1:12" s="17" customFormat="1" ht="31.2" x14ac:dyDescent="0.3">
      <c r="A391" s="15" t="s">
        <v>117</v>
      </c>
      <c r="B391" s="12" t="s">
        <v>38</v>
      </c>
      <c r="C391" s="37" t="s">
        <v>248</v>
      </c>
      <c r="D391" s="12" t="s">
        <v>118</v>
      </c>
      <c r="E391" s="90">
        <v>0</v>
      </c>
      <c r="F391" s="90">
        <v>0</v>
      </c>
      <c r="G391" s="90">
        <v>0</v>
      </c>
      <c r="H391" s="90">
        <f t="shared" si="67"/>
        <v>0</v>
      </c>
      <c r="I391" s="90" t="s">
        <v>559</v>
      </c>
      <c r="J391" s="90" t="s">
        <v>559</v>
      </c>
      <c r="L391" s="11"/>
    </row>
    <row r="392" spans="1:12" s="6" customFormat="1" ht="93.6" x14ac:dyDescent="0.3">
      <c r="A392" s="35" t="s">
        <v>246</v>
      </c>
      <c r="B392" s="12" t="s">
        <v>38</v>
      </c>
      <c r="C392" s="37" t="s">
        <v>248</v>
      </c>
      <c r="D392" s="12" t="s">
        <v>26</v>
      </c>
      <c r="E392" s="13">
        <f>E393</f>
        <v>0</v>
      </c>
      <c r="F392" s="13">
        <f>F393</f>
        <v>0</v>
      </c>
      <c r="G392" s="13">
        <f>G393</f>
        <v>0</v>
      </c>
      <c r="H392" s="13">
        <f t="shared" si="67"/>
        <v>0</v>
      </c>
      <c r="I392" s="13" t="s">
        <v>559</v>
      </c>
      <c r="J392" s="13" t="s">
        <v>559</v>
      </c>
      <c r="L392" s="11"/>
    </row>
    <row r="393" spans="1:12" s="17" customFormat="1" ht="31.2" x14ac:dyDescent="0.3">
      <c r="A393" s="15" t="s">
        <v>117</v>
      </c>
      <c r="B393" s="12" t="s">
        <v>38</v>
      </c>
      <c r="C393" s="37" t="s">
        <v>248</v>
      </c>
      <c r="D393" s="12" t="s">
        <v>118</v>
      </c>
      <c r="E393" s="13">
        <v>0</v>
      </c>
      <c r="F393" s="13">
        <v>0</v>
      </c>
      <c r="G393" s="13">
        <v>0</v>
      </c>
      <c r="H393" s="13">
        <f t="shared" si="67"/>
        <v>0</v>
      </c>
      <c r="I393" s="13" t="s">
        <v>559</v>
      </c>
      <c r="J393" s="13" t="s">
        <v>559</v>
      </c>
      <c r="L393" s="11"/>
    </row>
    <row r="394" spans="1:12" s="17" customFormat="1" ht="78" x14ac:dyDescent="0.3">
      <c r="A394" s="1" t="s">
        <v>196</v>
      </c>
      <c r="B394" s="12" t="s">
        <v>38</v>
      </c>
      <c r="C394" s="37" t="s">
        <v>209</v>
      </c>
      <c r="D394" s="12" t="s">
        <v>26</v>
      </c>
      <c r="E394" s="20">
        <f>E395</f>
        <v>168005</v>
      </c>
      <c r="F394" s="20">
        <f>F395</f>
        <v>168005</v>
      </c>
      <c r="G394" s="20">
        <f>G395</f>
        <v>168005</v>
      </c>
      <c r="H394" s="20">
        <f t="shared" si="67"/>
        <v>0</v>
      </c>
      <c r="I394" s="20">
        <f>$G394/$E394*100</f>
        <v>100</v>
      </c>
      <c r="J394" s="20">
        <f t="shared" ref="J394:J409" si="68">$G394/$F394*100</f>
        <v>100</v>
      </c>
      <c r="L394" s="11"/>
    </row>
    <row r="395" spans="1:12" s="17" customFormat="1" ht="31.2" x14ac:dyDescent="0.3">
      <c r="A395" s="15" t="s">
        <v>117</v>
      </c>
      <c r="B395" s="12" t="s">
        <v>38</v>
      </c>
      <c r="C395" s="37" t="s">
        <v>209</v>
      </c>
      <c r="D395" s="12" t="s">
        <v>118</v>
      </c>
      <c r="E395" s="20">
        <v>168005</v>
      </c>
      <c r="F395" s="20">
        <v>168005</v>
      </c>
      <c r="G395" s="20">
        <v>168005</v>
      </c>
      <c r="H395" s="20">
        <f t="shared" si="67"/>
        <v>0</v>
      </c>
      <c r="I395" s="20">
        <f>$G395/$E395*100</f>
        <v>100</v>
      </c>
      <c r="J395" s="20">
        <f t="shared" si="68"/>
        <v>100</v>
      </c>
      <c r="L395" s="11"/>
    </row>
    <row r="396" spans="1:12" s="17" customFormat="1" ht="78" x14ac:dyDescent="0.3">
      <c r="A396" s="1" t="s">
        <v>208</v>
      </c>
      <c r="B396" s="12" t="s">
        <v>38</v>
      </c>
      <c r="C396" s="37" t="s">
        <v>209</v>
      </c>
      <c r="D396" s="12" t="s">
        <v>26</v>
      </c>
      <c r="E396" s="20">
        <f>E397</f>
        <v>8842.3700000000008</v>
      </c>
      <c r="F396" s="20">
        <f>F397</f>
        <v>5196.03</v>
      </c>
      <c r="G396" s="20">
        <f>G397</f>
        <v>5196.03</v>
      </c>
      <c r="H396" s="20">
        <f t="shared" si="67"/>
        <v>0</v>
      </c>
      <c r="I396" s="20">
        <f>$G396/$E396*100</f>
        <v>58.76</v>
      </c>
      <c r="J396" s="20">
        <f t="shared" si="68"/>
        <v>100</v>
      </c>
      <c r="L396" s="11"/>
    </row>
    <row r="397" spans="1:12" s="6" customFormat="1" ht="31.2" x14ac:dyDescent="0.25">
      <c r="A397" s="15" t="s">
        <v>117</v>
      </c>
      <c r="B397" s="12" t="s">
        <v>38</v>
      </c>
      <c r="C397" s="37" t="s">
        <v>209</v>
      </c>
      <c r="D397" s="12" t="s">
        <v>118</v>
      </c>
      <c r="E397" s="20">
        <f>8842.37</f>
        <v>8842.3700000000008</v>
      </c>
      <c r="F397" s="20">
        <f>8842.37-3646.34</f>
        <v>5196.03</v>
      </c>
      <c r="G397" s="20">
        <f>8842.37-3646.34</f>
        <v>5196.03</v>
      </c>
      <c r="H397" s="20">
        <f t="shared" si="67"/>
        <v>0</v>
      </c>
      <c r="I397" s="20">
        <f>$G397/$E397*100</f>
        <v>58.76</v>
      </c>
      <c r="J397" s="20">
        <f t="shared" si="68"/>
        <v>100</v>
      </c>
      <c r="L397" s="11"/>
    </row>
    <row r="398" spans="1:12" s="6" customFormat="1" ht="15.6" x14ac:dyDescent="0.3">
      <c r="A398" s="35" t="s">
        <v>531</v>
      </c>
      <c r="B398" s="14" t="s">
        <v>38</v>
      </c>
      <c r="C398" s="14" t="s">
        <v>529</v>
      </c>
      <c r="D398" s="14" t="s">
        <v>26</v>
      </c>
      <c r="E398" s="92">
        <f>E399+E401</f>
        <v>0</v>
      </c>
      <c r="F398" s="92">
        <f>F399+F401</f>
        <v>19664817.690000001</v>
      </c>
      <c r="G398" s="92">
        <f>G399+G401</f>
        <v>17570796.109999999</v>
      </c>
      <c r="H398" s="92">
        <f t="shared" si="67"/>
        <v>2094021.58</v>
      </c>
      <c r="I398" s="92" t="s">
        <v>559</v>
      </c>
      <c r="J398" s="92">
        <f t="shared" si="68"/>
        <v>89.35</v>
      </c>
      <c r="L398" s="11"/>
    </row>
    <row r="399" spans="1:12" s="6" customFormat="1" ht="31.2" x14ac:dyDescent="0.25">
      <c r="A399" s="15" t="s">
        <v>532</v>
      </c>
      <c r="B399" s="12" t="s">
        <v>38</v>
      </c>
      <c r="C399" s="37" t="s">
        <v>530</v>
      </c>
      <c r="D399" s="12" t="s">
        <v>26</v>
      </c>
      <c r="E399" s="20">
        <f>E400</f>
        <v>0</v>
      </c>
      <c r="F399" s="20">
        <f>F400</f>
        <v>19567986.420000002</v>
      </c>
      <c r="G399" s="20">
        <f>G400</f>
        <v>17484275.989999998</v>
      </c>
      <c r="H399" s="20">
        <f t="shared" si="67"/>
        <v>2083710.43</v>
      </c>
      <c r="I399" s="20" t="s">
        <v>559</v>
      </c>
      <c r="J399" s="20">
        <f t="shared" si="68"/>
        <v>89.35</v>
      </c>
      <c r="L399" s="11"/>
    </row>
    <row r="400" spans="1:12" s="6" customFormat="1" ht="31.2" x14ac:dyDescent="0.25">
      <c r="A400" s="15" t="s">
        <v>117</v>
      </c>
      <c r="B400" s="12" t="s">
        <v>38</v>
      </c>
      <c r="C400" s="37" t="s">
        <v>530</v>
      </c>
      <c r="D400" s="12" t="s">
        <v>118</v>
      </c>
      <c r="E400" s="20">
        <v>0</v>
      </c>
      <c r="F400" s="20">
        <f>0+16150357.14+3417629.28</f>
        <v>19567986.420000002</v>
      </c>
      <c r="G400" s="20">
        <v>17484275.989999998</v>
      </c>
      <c r="H400" s="20">
        <f t="shared" si="67"/>
        <v>2083710.43</v>
      </c>
      <c r="I400" s="20" t="s">
        <v>559</v>
      </c>
      <c r="J400" s="20">
        <f t="shared" si="68"/>
        <v>89.35</v>
      </c>
      <c r="L400" s="11"/>
    </row>
    <row r="401" spans="1:12" s="6" customFormat="1" ht="31.2" x14ac:dyDescent="0.25">
      <c r="A401" s="15" t="s">
        <v>533</v>
      </c>
      <c r="B401" s="12" t="s">
        <v>38</v>
      </c>
      <c r="C401" s="37" t="s">
        <v>530</v>
      </c>
      <c r="D401" s="12" t="s">
        <v>26</v>
      </c>
      <c r="E401" s="20">
        <f>E402</f>
        <v>0</v>
      </c>
      <c r="F401" s="20">
        <f>F402</f>
        <v>96831.27</v>
      </c>
      <c r="G401" s="20">
        <f>G402</f>
        <v>86520.12</v>
      </c>
      <c r="H401" s="20">
        <f t="shared" si="67"/>
        <v>10311.15</v>
      </c>
      <c r="I401" s="20" t="s">
        <v>559</v>
      </c>
      <c r="J401" s="20">
        <f t="shared" si="68"/>
        <v>89.35</v>
      </c>
      <c r="L401" s="11"/>
    </row>
    <row r="402" spans="1:12" s="6" customFormat="1" ht="31.2" x14ac:dyDescent="0.25">
      <c r="A402" s="1" t="s">
        <v>117</v>
      </c>
      <c r="B402" s="12" t="s">
        <v>38</v>
      </c>
      <c r="C402" s="37" t="s">
        <v>530</v>
      </c>
      <c r="D402" s="12" t="s">
        <v>118</v>
      </c>
      <c r="E402" s="20">
        <v>0</v>
      </c>
      <c r="F402" s="20">
        <f>0+79919.3+16911.97</f>
        <v>96831.27</v>
      </c>
      <c r="G402" s="20">
        <v>86520.12</v>
      </c>
      <c r="H402" s="20">
        <f t="shared" si="67"/>
        <v>10311.15</v>
      </c>
      <c r="I402" s="20" t="s">
        <v>559</v>
      </c>
      <c r="J402" s="20">
        <f t="shared" si="68"/>
        <v>89.35</v>
      </c>
      <c r="L402" s="11"/>
    </row>
    <row r="403" spans="1:12" s="6" customFormat="1" ht="31.2" x14ac:dyDescent="0.25">
      <c r="A403" s="1" t="s">
        <v>139</v>
      </c>
      <c r="B403" s="12" t="s">
        <v>69</v>
      </c>
      <c r="C403" s="12" t="s">
        <v>146</v>
      </c>
      <c r="D403" s="12" t="s">
        <v>26</v>
      </c>
      <c r="E403" s="13">
        <f>E404+E413</f>
        <v>15012037.01</v>
      </c>
      <c r="F403" s="13">
        <f>F404+F413</f>
        <v>14378107.17</v>
      </c>
      <c r="G403" s="13">
        <f>G404+G413</f>
        <v>13055812.57</v>
      </c>
      <c r="H403" s="13">
        <f t="shared" si="67"/>
        <v>1322294.6000000001</v>
      </c>
      <c r="I403" s="13">
        <f t="shared" ref="I403:I409" si="69">$G403/$E403*100</f>
        <v>86.97</v>
      </c>
      <c r="J403" s="13">
        <f t="shared" si="68"/>
        <v>90.8</v>
      </c>
      <c r="L403" s="11"/>
    </row>
    <row r="404" spans="1:12" s="6" customFormat="1" ht="46.8" x14ac:dyDescent="0.25">
      <c r="A404" s="1" t="s">
        <v>334</v>
      </c>
      <c r="B404" s="12" t="s">
        <v>69</v>
      </c>
      <c r="C404" s="12" t="s">
        <v>10</v>
      </c>
      <c r="D404" s="12" t="s">
        <v>26</v>
      </c>
      <c r="E404" s="13">
        <f>E405</f>
        <v>11927150</v>
      </c>
      <c r="F404" s="13">
        <f>F405</f>
        <v>11927639.68</v>
      </c>
      <c r="G404" s="13">
        <f>G405</f>
        <v>10605345.08</v>
      </c>
      <c r="H404" s="13">
        <f t="shared" si="67"/>
        <v>1322294.6000000001</v>
      </c>
      <c r="I404" s="13">
        <f t="shared" si="69"/>
        <v>88.92</v>
      </c>
      <c r="J404" s="13">
        <f t="shared" si="68"/>
        <v>88.91</v>
      </c>
      <c r="L404" s="11"/>
    </row>
    <row r="405" spans="1:12" s="6" customFormat="1" ht="62.4" x14ac:dyDescent="0.25">
      <c r="A405" s="2" t="s">
        <v>341</v>
      </c>
      <c r="B405" s="27" t="s">
        <v>69</v>
      </c>
      <c r="C405" s="27" t="s">
        <v>17</v>
      </c>
      <c r="D405" s="27" t="s">
        <v>26</v>
      </c>
      <c r="E405" s="13">
        <f>E407+E411</f>
        <v>11927150</v>
      </c>
      <c r="F405" s="13">
        <f>F407+F411</f>
        <v>11927639.68</v>
      </c>
      <c r="G405" s="13">
        <f>G407+G411</f>
        <v>10605345.08</v>
      </c>
      <c r="H405" s="13">
        <f t="shared" si="67"/>
        <v>1322294.6000000001</v>
      </c>
      <c r="I405" s="13">
        <f t="shared" si="69"/>
        <v>88.92</v>
      </c>
      <c r="J405" s="13">
        <f t="shared" si="68"/>
        <v>88.91</v>
      </c>
      <c r="L405" s="11"/>
    </row>
    <row r="406" spans="1:12" s="6" customFormat="1" ht="62.4" x14ac:dyDescent="0.25">
      <c r="A406" s="2" t="s">
        <v>486</v>
      </c>
      <c r="B406" s="27" t="s">
        <v>69</v>
      </c>
      <c r="C406" s="27" t="s">
        <v>485</v>
      </c>
      <c r="D406" s="27" t="s">
        <v>26</v>
      </c>
      <c r="E406" s="13">
        <f t="shared" ref="E406:G407" si="70">E407+E408+E409</f>
        <v>23854300</v>
      </c>
      <c r="F406" s="13">
        <f t="shared" si="70"/>
        <v>23855279.359999999</v>
      </c>
      <c r="G406" s="13">
        <f t="shared" si="70"/>
        <v>21210690.16</v>
      </c>
      <c r="H406" s="13">
        <f t="shared" si="67"/>
        <v>2644589.2000000002</v>
      </c>
      <c r="I406" s="13">
        <f t="shared" si="69"/>
        <v>88.92</v>
      </c>
      <c r="J406" s="13">
        <f t="shared" si="68"/>
        <v>88.91</v>
      </c>
      <c r="L406" s="11"/>
    </row>
    <row r="407" spans="1:12" s="6" customFormat="1" ht="46.8" x14ac:dyDescent="0.25">
      <c r="A407" s="2" t="s">
        <v>111</v>
      </c>
      <c r="B407" s="27" t="s">
        <v>69</v>
      </c>
      <c r="C407" s="27" t="s">
        <v>342</v>
      </c>
      <c r="D407" s="27" t="s">
        <v>26</v>
      </c>
      <c r="E407" s="13">
        <f t="shared" si="70"/>
        <v>11927150</v>
      </c>
      <c r="F407" s="13">
        <f t="shared" si="70"/>
        <v>11927639.68</v>
      </c>
      <c r="G407" s="13">
        <f t="shared" si="70"/>
        <v>10605345.08</v>
      </c>
      <c r="H407" s="13">
        <f t="shared" si="67"/>
        <v>1322294.6000000001</v>
      </c>
      <c r="I407" s="13">
        <f t="shared" si="69"/>
        <v>88.92</v>
      </c>
      <c r="J407" s="13">
        <f t="shared" si="68"/>
        <v>88.91</v>
      </c>
      <c r="L407" s="11"/>
    </row>
    <row r="408" spans="1:12" s="6" customFormat="1" ht="15.6" x14ac:dyDescent="0.25">
      <c r="A408" s="15" t="s">
        <v>132</v>
      </c>
      <c r="B408" s="27" t="s">
        <v>69</v>
      </c>
      <c r="C408" s="27" t="s">
        <v>342</v>
      </c>
      <c r="D408" s="12" t="s">
        <v>133</v>
      </c>
      <c r="E408" s="20">
        <v>10411800</v>
      </c>
      <c r="F408" s="20">
        <v>10567814.91</v>
      </c>
      <c r="G408" s="20">
        <v>9829403.5800000001</v>
      </c>
      <c r="H408" s="20">
        <f t="shared" si="67"/>
        <v>738411.33</v>
      </c>
      <c r="I408" s="20">
        <f t="shared" si="69"/>
        <v>94.41</v>
      </c>
      <c r="J408" s="20">
        <f t="shared" si="68"/>
        <v>93.01</v>
      </c>
      <c r="L408" s="11"/>
    </row>
    <row r="409" spans="1:12" s="6" customFormat="1" ht="31.2" x14ac:dyDescent="0.25">
      <c r="A409" s="15" t="s">
        <v>117</v>
      </c>
      <c r="B409" s="27" t="s">
        <v>69</v>
      </c>
      <c r="C409" s="27" t="s">
        <v>342</v>
      </c>
      <c r="D409" s="12" t="s">
        <v>118</v>
      </c>
      <c r="E409" s="20">
        <f>1515350</f>
        <v>1515350</v>
      </c>
      <c r="F409" s="20">
        <f>1515350+42500-198025.23</f>
        <v>1359824.77</v>
      </c>
      <c r="G409" s="20">
        <v>775941.5</v>
      </c>
      <c r="H409" s="20">
        <f t="shared" si="67"/>
        <v>583883.27</v>
      </c>
      <c r="I409" s="20">
        <f t="shared" si="69"/>
        <v>51.21</v>
      </c>
      <c r="J409" s="20">
        <f t="shared" si="68"/>
        <v>57.06</v>
      </c>
      <c r="L409" s="11"/>
    </row>
    <row r="410" spans="1:12" s="6" customFormat="1" ht="15.6" x14ac:dyDescent="0.25">
      <c r="A410" s="15" t="s">
        <v>121</v>
      </c>
      <c r="B410" s="27" t="s">
        <v>69</v>
      </c>
      <c r="C410" s="27" t="s">
        <v>342</v>
      </c>
      <c r="D410" s="12" t="s">
        <v>134</v>
      </c>
      <c r="E410" s="20">
        <v>0</v>
      </c>
      <c r="F410" s="20">
        <v>0</v>
      </c>
      <c r="G410" s="20">
        <v>0</v>
      </c>
      <c r="H410" s="20">
        <f t="shared" si="67"/>
        <v>0</v>
      </c>
      <c r="I410" s="20" t="s">
        <v>559</v>
      </c>
      <c r="J410" s="20" t="s">
        <v>559</v>
      </c>
      <c r="L410" s="11"/>
    </row>
    <row r="411" spans="1:12" s="6" customFormat="1" ht="46.8" x14ac:dyDescent="0.25">
      <c r="A411" s="2" t="s">
        <v>116</v>
      </c>
      <c r="B411" s="27" t="s">
        <v>69</v>
      </c>
      <c r="C411" s="12" t="s">
        <v>343</v>
      </c>
      <c r="D411" s="12" t="s">
        <v>26</v>
      </c>
      <c r="E411" s="20">
        <f>E412</f>
        <v>0</v>
      </c>
      <c r="F411" s="20">
        <f>F412</f>
        <v>0</v>
      </c>
      <c r="G411" s="20">
        <f>G412</f>
        <v>0</v>
      </c>
      <c r="H411" s="20">
        <f t="shared" si="67"/>
        <v>0</v>
      </c>
      <c r="I411" s="20" t="s">
        <v>559</v>
      </c>
      <c r="J411" s="20" t="s">
        <v>559</v>
      </c>
      <c r="L411" s="11"/>
    </row>
    <row r="412" spans="1:12" s="6" customFormat="1" ht="31.2" x14ac:dyDescent="0.25">
      <c r="A412" s="15" t="s">
        <v>117</v>
      </c>
      <c r="B412" s="27" t="s">
        <v>69</v>
      </c>
      <c r="C412" s="12" t="s">
        <v>343</v>
      </c>
      <c r="D412" s="12" t="s">
        <v>118</v>
      </c>
      <c r="E412" s="92">
        <v>0</v>
      </c>
      <c r="F412" s="92">
        <v>0</v>
      </c>
      <c r="G412" s="92">
        <v>0</v>
      </c>
      <c r="H412" s="92">
        <f t="shared" si="67"/>
        <v>0</v>
      </c>
      <c r="I412" s="92" t="s">
        <v>559</v>
      </c>
      <c r="J412" s="92" t="s">
        <v>559</v>
      </c>
      <c r="L412" s="11"/>
    </row>
    <row r="413" spans="1:12" s="6" customFormat="1" ht="78" x14ac:dyDescent="0.25">
      <c r="A413" s="15" t="s">
        <v>347</v>
      </c>
      <c r="B413" s="12" t="s">
        <v>69</v>
      </c>
      <c r="C413" s="37" t="s">
        <v>345</v>
      </c>
      <c r="D413" s="12" t="s">
        <v>26</v>
      </c>
      <c r="E413" s="13">
        <f t="shared" ref="E413:G414" si="71">E414</f>
        <v>3084887.01</v>
      </c>
      <c r="F413" s="13">
        <f t="shared" si="71"/>
        <v>2450467.4900000002</v>
      </c>
      <c r="G413" s="13">
        <f t="shared" si="71"/>
        <v>2450467.4900000002</v>
      </c>
      <c r="H413" s="13">
        <f t="shared" si="67"/>
        <v>0</v>
      </c>
      <c r="I413" s="13">
        <f t="shared" ref="I413:I443" si="72">$G413/$E413*100</f>
        <v>79.430000000000007</v>
      </c>
      <c r="J413" s="13">
        <f t="shared" ref="J413:J443" si="73">$G413/$F413*100</f>
        <v>100</v>
      </c>
      <c r="L413" s="11"/>
    </row>
    <row r="414" spans="1:12" s="6" customFormat="1" ht="62.4" x14ac:dyDescent="0.25">
      <c r="A414" s="15" t="s">
        <v>499</v>
      </c>
      <c r="B414" s="12" t="s">
        <v>69</v>
      </c>
      <c r="C414" s="37" t="s">
        <v>344</v>
      </c>
      <c r="D414" s="12" t="s">
        <v>26</v>
      </c>
      <c r="E414" s="13">
        <f t="shared" si="71"/>
        <v>3084887.01</v>
      </c>
      <c r="F414" s="13">
        <f t="shared" si="71"/>
        <v>2450467.4900000002</v>
      </c>
      <c r="G414" s="13">
        <f t="shared" si="71"/>
        <v>2450467.4900000002</v>
      </c>
      <c r="H414" s="13">
        <f t="shared" si="67"/>
        <v>0</v>
      </c>
      <c r="I414" s="13">
        <f t="shared" si="72"/>
        <v>79.430000000000007</v>
      </c>
      <c r="J414" s="13">
        <f t="shared" si="73"/>
        <v>100</v>
      </c>
      <c r="L414" s="11"/>
    </row>
    <row r="415" spans="1:12" s="6" customFormat="1" ht="62.4" x14ac:dyDescent="0.25">
      <c r="A415" s="15" t="s">
        <v>346</v>
      </c>
      <c r="B415" s="12" t="s">
        <v>69</v>
      </c>
      <c r="C415" s="37" t="s">
        <v>265</v>
      </c>
      <c r="D415" s="12" t="s">
        <v>26</v>
      </c>
      <c r="E415" s="13">
        <f>E416+E418+E420</f>
        <v>3084887.01</v>
      </c>
      <c r="F415" s="13">
        <f>F416+F418+F420</f>
        <v>2450467.4900000002</v>
      </c>
      <c r="G415" s="13">
        <f>G416+G418+G420</f>
        <v>2450467.4900000002</v>
      </c>
      <c r="H415" s="13">
        <f t="shared" si="67"/>
        <v>0</v>
      </c>
      <c r="I415" s="13">
        <f t="shared" si="72"/>
        <v>79.430000000000007</v>
      </c>
      <c r="J415" s="13">
        <f t="shared" si="73"/>
        <v>100</v>
      </c>
      <c r="L415" s="11"/>
    </row>
    <row r="416" spans="1:12" s="6" customFormat="1" ht="78" x14ac:dyDescent="0.25">
      <c r="A416" s="1" t="s">
        <v>263</v>
      </c>
      <c r="B416" s="12" t="s">
        <v>69</v>
      </c>
      <c r="C416" s="37" t="s">
        <v>264</v>
      </c>
      <c r="D416" s="12" t="s">
        <v>26</v>
      </c>
      <c r="E416" s="13">
        <f>E417</f>
        <v>2929692.66</v>
      </c>
      <c r="F416" s="13">
        <f>F417</f>
        <v>2262383.6</v>
      </c>
      <c r="G416" s="13">
        <f>G417</f>
        <v>2262383.6</v>
      </c>
      <c r="H416" s="13">
        <f t="shared" si="67"/>
        <v>0</v>
      </c>
      <c r="I416" s="13">
        <f t="shared" si="72"/>
        <v>77.22</v>
      </c>
      <c r="J416" s="13">
        <f t="shared" si="73"/>
        <v>100</v>
      </c>
      <c r="L416" s="11"/>
    </row>
    <row r="417" spans="1:12" s="6" customFormat="1" ht="31.2" x14ac:dyDescent="0.25">
      <c r="A417" s="15" t="s">
        <v>117</v>
      </c>
      <c r="B417" s="12" t="s">
        <v>69</v>
      </c>
      <c r="C417" s="37" t="s">
        <v>264</v>
      </c>
      <c r="D417" s="12" t="s">
        <v>118</v>
      </c>
      <c r="E417" s="13">
        <f>2929692.66</f>
        <v>2929692.66</v>
      </c>
      <c r="F417" s="13">
        <f>2929692.66-667309.06</f>
        <v>2262383.6</v>
      </c>
      <c r="G417" s="13">
        <f>2929692.66-667309.06</f>
        <v>2262383.6</v>
      </c>
      <c r="H417" s="13">
        <f t="shared" si="67"/>
        <v>0</v>
      </c>
      <c r="I417" s="13">
        <f t="shared" si="72"/>
        <v>77.22</v>
      </c>
      <c r="J417" s="13">
        <f t="shared" si="73"/>
        <v>100</v>
      </c>
      <c r="L417" s="11"/>
    </row>
    <row r="418" spans="1:12" s="6" customFormat="1" ht="62.4" x14ac:dyDescent="0.25">
      <c r="A418" s="15" t="s">
        <v>489</v>
      </c>
      <c r="B418" s="12" t="s">
        <v>69</v>
      </c>
      <c r="C418" s="37" t="s">
        <v>264</v>
      </c>
      <c r="D418" s="12" t="s">
        <v>26</v>
      </c>
      <c r="E418" s="91">
        <f>E419</f>
        <v>154194.35</v>
      </c>
      <c r="F418" s="91">
        <f>F419</f>
        <v>69970.63</v>
      </c>
      <c r="G418" s="91">
        <f>G419</f>
        <v>69970.63</v>
      </c>
      <c r="H418" s="91">
        <f t="shared" si="67"/>
        <v>0</v>
      </c>
      <c r="I418" s="91">
        <f t="shared" si="72"/>
        <v>45.38</v>
      </c>
      <c r="J418" s="91">
        <f t="shared" si="73"/>
        <v>100</v>
      </c>
      <c r="L418" s="11"/>
    </row>
    <row r="419" spans="1:12" s="6" customFormat="1" ht="31.2" x14ac:dyDescent="0.25">
      <c r="A419" s="15" t="s">
        <v>117</v>
      </c>
      <c r="B419" s="12" t="s">
        <v>69</v>
      </c>
      <c r="C419" s="37" t="s">
        <v>264</v>
      </c>
      <c r="D419" s="12" t="s">
        <v>118</v>
      </c>
      <c r="E419" s="13">
        <f>154194.35</f>
        <v>154194.35</v>
      </c>
      <c r="F419" s="13">
        <f>154194.35-84223.72</f>
        <v>69970.63</v>
      </c>
      <c r="G419" s="13">
        <f>154194.35-84223.72</f>
        <v>69970.63</v>
      </c>
      <c r="H419" s="13">
        <f t="shared" si="67"/>
        <v>0</v>
      </c>
      <c r="I419" s="13">
        <f t="shared" si="72"/>
        <v>45.38</v>
      </c>
      <c r="J419" s="13">
        <f t="shared" si="73"/>
        <v>100</v>
      </c>
      <c r="L419" s="11"/>
    </row>
    <row r="420" spans="1:12" s="6" customFormat="1" ht="31.2" x14ac:dyDescent="0.25">
      <c r="A420" s="15" t="s">
        <v>262</v>
      </c>
      <c r="B420" s="12" t="s">
        <v>69</v>
      </c>
      <c r="C420" s="37" t="s">
        <v>488</v>
      </c>
      <c r="D420" s="12" t="s">
        <v>26</v>
      </c>
      <c r="E420" s="13">
        <f>E421</f>
        <v>1000</v>
      </c>
      <c r="F420" s="13">
        <f>F421</f>
        <v>118113.26</v>
      </c>
      <c r="G420" s="13">
        <f>G421</f>
        <v>118113.26</v>
      </c>
      <c r="H420" s="13">
        <f t="shared" si="67"/>
        <v>0</v>
      </c>
      <c r="I420" s="13">
        <f t="shared" si="72"/>
        <v>11811.33</v>
      </c>
      <c r="J420" s="13">
        <f t="shared" si="73"/>
        <v>100</v>
      </c>
      <c r="L420" s="11"/>
    </row>
    <row r="421" spans="1:12" s="6" customFormat="1" ht="31.2" x14ac:dyDescent="0.25">
      <c r="A421" s="15" t="s">
        <v>117</v>
      </c>
      <c r="B421" s="12" t="s">
        <v>69</v>
      </c>
      <c r="C421" s="37" t="s">
        <v>488</v>
      </c>
      <c r="D421" s="12" t="s">
        <v>118</v>
      </c>
      <c r="E421" s="91">
        <f>1000</f>
        <v>1000</v>
      </c>
      <c r="F421" s="91">
        <f>1000+117113.26</f>
        <v>118113.26</v>
      </c>
      <c r="G421" s="91">
        <f>1000+117113.26</f>
        <v>118113.26</v>
      </c>
      <c r="H421" s="91">
        <f t="shared" si="67"/>
        <v>0</v>
      </c>
      <c r="I421" s="91">
        <f t="shared" si="72"/>
        <v>11811.33</v>
      </c>
      <c r="J421" s="91">
        <f t="shared" si="73"/>
        <v>100</v>
      </c>
      <c r="L421" s="11"/>
    </row>
    <row r="422" spans="1:12" s="6" customFormat="1" ht="15.6" x14ac:dyDescent="0.25">
      <c r="A422" s="8" t="s">
        <v>86</v>
      </c>
      <c r="B422" s="9" t="s">
        <v>88</v>
      </c>
      <c r="C422" s="8" t="s">
        <v>146</v>
      </c>
      <c r="D422" s="9" t="s">
        <v>26</v>
      </c>
      <c r="E422" s="16">
        <f t="shared" ref="E422:G426" si="74">E423</f>
        <v>300000</v>
      </c>
      <c r="F422" s="16">
        <f t="shared" si="74"/>
        <v>300000</v>
      </c>
      <c r="G422" s="16">
        <f t="shared" si="74"/>
        <v>194671</v>
      </c>
      <c r="H422" s="16">
        <f t="shared" si="67"/>
        <v>105329</v>
      </c>
      <c r="I422" s="16">
        <f t="shared" si="72"/>
        <v>64.89</v>
      </c>
      <c r="J422" s="16">
        <f t="shared" si="73"/>
        <v>64.89</v>
      </c>
      <c r="L422" s="11"/>
    </row>
    <row r="423" spans="1:12" s="6" customFormat="1" ht="15.6" x14ac:dyDescent="0.25">
      <c r="A423" s="2" t="s">
        <v>87</v>
      </c>
      <c r="B423" s="12" t="s">
        <v>89</v>
      </c>
      <c r="C423" s="2" t="s">
        <v>146</v>
      </c>
      <c r="D423" s="12" t="s">
        <v>26</v>
      </c>
      <c r="E423" s="91">
        <f t="shared" si="74"/>
        <v>300000</v>
      </c>
      <c r="F423" s="91">
        <f t="shared" si="74"/>
        <v>300000</v>
      </c>
      <c r="G423" s="91">
        <f t="shared" si="74"/>
        <v>194671</v>
      </c>
      <c r="H423" s="91">
        <f t="shared" si="67"/>
        <v>105329</v>
      </c>
      <c r="I423" s="91">
        <f t="shared" si="72"/>
        <v>64.89</v>
      </c>
      <c r="J423" s="91">
        <f t="shared" si="73"/>
        <v>64.89</v>
      </c>
      <c r="L423" s="11"/>
    </row>
    <row r="424" spans="1:12" s="6" customFormat="1" ht="62.4" x14ac:dyDescent="0.25">
      <c r="A424" s="2" t="s">
        <v>366</v>
      </c>
      <c r="B424" s="12" t="s">
        <v>89</v>
      </c>
      <c r="C424" s="2" t="s">
        <v>2</v>
      </c>
      <c r="D424" s="12" t="s">
        <v>26</v>
      </c>
      <c r="E424" s="20">
        <f t="shared" si="74"/>
        <v>300000</v>
      </c>
      <c r="F424" s="20">
        <f t="shared" si="74"/>
        <v>300000</v>
      </c>
      <c r="G424" s="20">
        <f t="shared" si="74"/>
        <v>194671</v>
      </c>
      <c r="H424" s="20">
        <f t="shared" si="67"/>
        <v>105329</v>
      </c>
      <c r="I424" s="20">
        <f t="shared" si="72"/>
        <v>64.89</v>
      </c>
      <c r="J424" s="20">
        <f t="shared" si="73"/>
        <v>64.89</v>
      </c>
      <c r="L424" s="11"/>
    </row>
    <row r="425" spans="1:12" s="6" customFormat="1" ht="46.8" x14ac:dyDescent="0.25">
      <c r="A425" s="12" t="s">
        <v>367</v>
      </c>
      <c r="B425" s="12" t="s">
        <v>89</v>
      </c>
      <c r="C425" s="2" t="s">
        <v>3</v>
      </c>
      <c r="D425" s="12" t="s">
        <v>26</v>
      </c>
      <c r="E425" s="92">
        <f t="shared" si="74"/>
        <v>300000</v>
      </c>
      <c r="F425" s="92">
        <f t="shared" si="74"/>
        <v>300000</v>
      </c>
      <c r="G425" s="92">
        <f t="shared" si="74"/>
        <v>194671</v>
      </c>
      <c r="H425" s="92">
        <f t="shared" si="67"/>
        <v>105329</v>
      </c>
      <c r="I425" s="92">
        <f t="shared" si="72"/>
        <v>64.89</v>
      </c>
      <c r="J425" s="92">
        <f t="shared" si="73"/>
        <v>64.89</v>
      </c>
      <c r="L425" s="11"/>
    </row>
    <row r="426" spans="1:12" s="6" customFormat="1" ht="31.2" x14ac:dyDescent="0.25">
      <c r="A426" s="15" t="s">
        <v>368</v>
      </c>
      <c r="B426" s="12" t="s">
        <v>89</v>
      </c>
      <c r="C426" s="2" t="s">
        <v>4</v>
      </c>
      <c r="D426" s="12" t="s">
        <v>26</v>
      </c>
      <c r="E426" s="20">
        <f t="shared" si="74"/>
        <v>300000</v>
      </c>
      <c r="F426" s="20">
        <f t="shared" si="74"/>
        <v>300000</v>
      </c>
      <c r="G426" s="20">
        <f t="shared" si="74"/>
        <v>194671</v>
      </c>
      <c r="H426" s="20">
        <f t="shared" si="67"/>
        <v>105329</v>
      </c>
      <c r="I426" s="20">
        <f t="shared" si="72"/>
        <v>64.89</v>
      </c>
      <c r="J426" s="20">
        <f t="shared" si="73"/>
        <v>64.89</v>
      </c>
      <c r="L426" s="11"/>
    </row>
    <row r="427" spans="1:12" s="6" customFormat="1" ht="31.2" x14ac:dyDescent="0.25">
      <c r="A427" s="15" t="s">
        <v>117</v>
      </c>
      <c r="B427" s="12" t="s">
        <v>89</v>
      </c>
      <c r="C427" s="2" t="s">
        <v>4</v>
      </c>
      <c r="D427" s="12" t="s">
        <v>118</v>
      </c>
      <c r="E427" s="20">
        <v>300000</v>
      </c>
      <c r="F427" s="20">
        <v>300000</v>
      </c>
      <c r="G427" s="20">
        <v>194671</v>
      </c>
      <c r="H427" s="20">
        <f t="shared" si="67"/>
        <v>105329</v>
      </c>
      <c r="I427" s="20">
        <f t="shared" si="72"/>
        <v>64.89</v>
      </c>
      <c r="J427" s="20">
        <f t="shared" si="73"/>
        <v>64.89</v>
      </c>
      <c r="L427" s="11"/>
    </row>
    <row r="428" spans="1:12" s="6" customFormat="1" ht="15.6" x14ac:dyDescent="0.25">
      <c r="A428" s="9" t="s">
        <v>57</v>
      </c>
      <c r="B428" s="9" t="s">
        <v>58</v>
      </c>
      <c r="C428" s="9" t="s">
        <v>146</v>
      </c>
      <c r="D428" s="48" t="s">
        <v>26</v>
      </c>
      <c r="E428" s="16">
        <f>E429+E435+E446+E471</f>
        <v>71433103</v>
      </c>
      <c r="F428" s="16">
        <f>F429+F435+F446+F471</f>
        <v>68966386.040000007</v>
      </c>
      <c r="G428" s="16">
        <f>G429+G435+G446+G471</f>
        <v>45890270.630000003</v>
      </c>
      <c r="H428" s="16">
        <f t="shared" si="67"/>
        <v>23076115.41</v>
      </c>
      <c r="I428" s="16">
        <f t="shared" si="72"/>
        <v>64.239999999999995</v>
      </c>
      <c r="J428" s="16">
        <f t="shared" si="73"/>
        <v>66.540000000000006</v>
      </c>
      <c r="L428" s="11"/>
    </row>
    <row r="429" spans="1:12" s="6" customFormat="1" ht="15.6" x14ac:dyDescent="0.25">
      <c r="A429" s="12" t="s">
        <v>33</v>
      </c>
      <c r="B429" s="27" t="s">
        <v>48</v>
      </c>
      <c r="C429" s="27" t="s">
        <v>146</v>
      </c>
      <c r="D429" s="27" t="s">
        <v>26</v>
      </c>
      <c r="E429" s="20">
        <f t="shared" ref="E429:G433" si="75">E430</f>
        <v>3528000</v>
      </c>
      <c r="F429" s="20">
        <f t="shared" si="75"/>
        <v>3816000</v>
      </c>
      <c r="G429" s="20">
        <f t="shared" si="75"/>
        <v>2196492.67</v>
      </c>
      <c r="H429" s="20">
        <f t="shared" si="67"/>
        <v>1619507.33</v>
      </c>
      <c r="I429" s="20">
        <f t="shared" si="72"/>
        <v>62.26</v>
      </c>
      <c r="J429" s="20">
        <f t="shared" si="73"/>
        <v>57.56</v>
      </c>
      <c r="L429" s="11"/>
    </row>
    <row r="430" spans="1:12" s="6" customFormat="1" ht="46.8" x14ac:dyDescent="0.25">
      <c r="A430" s="1" t="s">
        <v>329</v>
      </c>
      <c r="B430" s="27" t="s">
        <v>48</v>
      </c>
      <c r="C430" s="27" t="s">
        <v>5</v>
      </c>
      <c r="D430" s="27" t="s">
        <v>26</v>
      </c>
      <c r="E430" s="20">
        <f t="shared" si="75"/>
        <v>3528000</v>
      </c>
      <c r="F430" s="20">
        <f t="shared" si="75"/>
        <v>3816000</v>
      </c>
      <c r="G430" s="20">
        <f t="shared" si="75"/>
        <v>2196492.67</v>
      </c>
      <c r="H430" s="20">
        <f t="shared" si="67"/>
        <v>1619507.33</v>
      </c>
      <c r="I430" s="20">
        <f t="shared" si="72"/>
        <v>62.26</v>
      </c>
      <c r="J430" s="20">
        <f t="shared" si="73"/>
        <v>57.56</v>
      </c>
      <c r="L430" s="11"/>
    </row>
    <row r="431" spans="1:12" s="6" customFormat="1" ht="31.2" x14ac:dyDescent="0.25">
      <c r="A431" s="24" t="s">
        <v>370</v>
      </c>
      <c r="B431" s="27" t="s">
        <v>48</v>
      </c>
      <c r="C431" s="27" t="s">
        <v>369</v>
      </c>
      <c r="D431" s="27" t="s">
        <v>26</v>
      </c>
      <c r="E431" s="20">
        <f t="shared" si="75"/>
        <v>3528000</v>
      </c>
      <c r="F431" s="20">
        <f t="shared" si="75"/>
        <v>3816000</v>
      </c>
      <c r="G431" s="20">
        <f t="shared" si="75"/>
        <v>2196492.67</v>
      </c>
      <c r="H431" s="20">
        <f t="shared" si="67"/>
        <v>1619507.33</v>
      </c>
      <c r="I431" s="20">
        <f t="shared" si="72"/>
        <v>62.26</v>
      </c>
      <c r="J431" s="20">
        <f t="shared" si="73"/>
        <v>57.56</v>
      </c>
      <c r="L431" s="11"/>
    </row>
    <row r="432" spans="1:12" s="6" customFormat="1" ht="31.2" x14ac:dyDescent="0.25">
      <c r="A432" s="2" t="s">
        <v>373</v>
      </c>
      <c r="B432" s="12">
        <v>1001</v>
      </c>
      <c r="C432" s="12" t="s">
        <v>372</v>
      </c>
      <c r="D432" s="12" t="s">
        <v>26</v>
      </c>
      <c r="E432" s="20">
        <f t="shared" si="75"/>
        <v>3528000</v>
      </c>
      <c r="F432" s="20">
        <f t="shared" si="75"/>
        <v>3816000</v>
      </c>
      <c r="G432" s="20">
        <f t="shared" si="75"/>
        <v>2196492.67</v>
      </c>
      <c r="H432" s="20">
        <f t="shared" si="67"/>
        <v>1619507.33</v>
      </c>
      <c r="I432" s="20">
        <f t="shared" si="72"/>
        <v>62.26</v>
      </c>
      <c r="J432" s="20">
        <f t="shared" si="73"/>
        <v>57.56</v>
      </c>
      <c r="L432" s="11"/>
    </row>
    <row r="433" spans="1:12" s="6" customFormat="1" ht="15.6" x14ac:dyDescent="0.25">
      <c r="A433" s="2" t="s">
        <v>105</v>
      </c>
      <c r="B433" s="12">
        <v>1001</v>
      </c>
      <c r="C433" s="12" t="s">
        <v>371</v>
      </c>
      <c r="D433" s="12" t="s">
        <v>26</v>
      </c>
      <c r="E433" s="20">
        <f t="shared" si="75"/>
        <v>3528000</v>
      </c>
      <c r="F433" s="20">
        <f t="shared" si="75"/>
        <v>3816000</v>
      </c>
      <c r="G433" s="20">
        <f t="shared" si="75"/>
        <v>2196492.67</v>
      </c>
      <c r="H433" s="20">
        <f t="shared" si="67"/>
        <v>1619507.33</v>
      </c>
      <c r="I433" s="20">
        <f t="shared" si="72"/>
        <v>62.26</v>
      </c>
      <c r="J433" s="20">
        <f t="shared" si="73"/>
        <v>57.56</v>
      </c>
      <c r="L433" s="11"/>
    </row>
    <row r="434" spans="1:12" s="6" customFormat="1" ht="31.2" x14ac:dyDescent="0.25">
      <c r="A434" s="2" t="s">
        <v>126</v>
      </c>
      <c r="B434" s="12">
        <v>1001</v>
      </c>
      <c r="C434" s="12" t="s">
        <v>371</v>
      </c>
      <c r="D434" s="12" t="s">
        <v>127</v>
      </c>
      <c r="E434" s="20">
        <f>3528000</f>
        <v>3528000</v>
      </c>
      <c r="F434" s="20">
        <f>3528000+288000</f>
        <v>3816000</v>
      </c>
      <c r="G434" s="20">
        <v>2196492.67</v>
      </c>
      <c r="H434" s="20">
        <f t="shared" si="67"/>
        <v>1619507.33</v>
      </c>
      <c r="I434" s="20">
        <f t="shared" si="72"/>
        <v>62.26</v>
      </c>
      <c r="J434" s="20">
        <f t="shared" si="73"/>
        <v>57.56</v>
      </c>
      <c r="L434" s="11"/>
    </row>
    <row r="435" spans="1:12" s="6" customFormat="1" ht="15.6" x14ac:dyDescent="0.25">
      <c r="A435" s="2" t="s">
        <v>84</v>
      </c>
      <c r="B435" s="12" t="s">
        <v>85</v>
      </c>
      <c r="C435" s="12" t="s">
        <v>146</v>
      </c>
      <c r="D435" s="12" t="s">
        <v>26</v>
      </c>
      <c r="E435" s="20">
        <f>E436</f>
        <v>3904200</v>
      </c>
      <c r="F435" s="20">
        <f t="shared" ref="F435:G435" si="76">F436</f>
        <v>3904200</v>
      </c>
      <c r="G435" s="20">
        <f t="shared" si="76"/>
        <v>1050000</v>
      </c>
      <c r="H435" s="20">
        <f t="shared" si="67"/>
        <v>2854200</v>
      </c>
      <c r="I435" s="20">
        <f t="shared" si="72"/>
        <v>26.89</v>
      </c>
      <c r="J435" s="20">
        <f t="shared" si="73"/>
        <v>26.89</v>
      </c>
      <c r="L435" s="11"/>
    </row>
    <row r="436" spans="1:12" s="6" customFormat="1" ht="46.8" x14ac:dyDescent="0.25">
      <c r="A436" s="2" t="s">
        <v>496</v>
      </c>
      <c r="B436" s="12" t="s">
        <v>85</v>
      </c>
      <c r="C436" s="12" t="s">
        <v>0</v>
      </c>
      <c r="D436" s="12" t="s">
        <v>26</v>
      </c>
      <c r="E436" s="13">
        <f>E437+E442</f>
        <v>3904200</v>
      </c>
      <c r="F436" s="13">
        <f>F437+F442</f>
        <v>3904200</v>
      </c>
      <c r="G436" s="13">
        <f>G437+G442</f>
        <v>1050000</v>
      </c>
      <c r="H436" s="13">
        <f t="shared" si="67"/>
        <v>2854200</v>
      </c>
      <c r="I436" s="13">
        <f t="shared" si="72"/>
        <v>26.89</v>
      </c>
      <c r="J436" s="13">
        <f t="shared" si="73"/>
        <v>26.89</v>
      </c>
      <c r="L436" s="11"/>
    </row>
    <row r="437" spans="1:12" s="6" customFormat="1" ht="31.2" x14ac:dyDescent="0.25">
      <c r="A437" s="2" t="s">
        <v>323</v>
      </c>
      <c r="B437" s="12" t="s">
        <v>85</v>
      </c>
      <c r="C437" s="12" t="s">
        <v>21</v>
      </c>
      <c r="D437" s="27" t="s">
        <v>26</v>
      </c>
      <c r="E437" s="13">
        <f>E439</f>
        <v>874200</v>
      </c>
      <c r="F437" s="13">
        <f>F439</f>
        <v>874200</v>
      </c>
      <c r="G437" s="13">
        <f>G439</f>
        <v>150000</v>
      </c>
      <c r="H437" s="13">
        <f t="shared" si="67"/>
        <v>724200</v>
      </c>
      <c r="I437" s="13">
        <f t="shared" si="72"/>
        <v>17.16</v>
      </c>
      <c r="J437" s="13">
        <f t="shared" si="73"/>
        <v>17.16</v>
      </c>
      <c r="L437" s="11"/>
    </row>
    <row r="438" spans="1:12" s="6" customFormat="1" ht="46.8" x14ac:dyDescent="0.25">
      <c r="A438" s="1" t="s">
        <v>328</v>
      </c>
      <c r="B438" s="14" t="s">
        <v>85</v>
      </c>
      <c r="C438" s="14" t="s">
        <v>327</v>
      </c>
      <c r="D438" s="14" t="s">
        <v>26</v>
      </c>
      <c r="E438" s="20">
        <f t="shared" ref="E438:G440" si="77">E439</f>
        <v>874200</v>
      </c>
      <c r="F438" s="20">
        <f t="shared" si="77"/>
        <v>874200</v>
      </c>
      <c r="G438" s="20">
        <f t="shared" si="77"/>
        <v>150000</v>
      </c>
      <c r="H438" s="20">
        <f t="shared" si="67"/>
        <v>724200</v>
      </c>
      <c r="I438" s="20">
        <f t="shared" si="72"/>
        <v>17.16</v>
      </c>
      <c r="J438" s="20">
        <f t="shared" si="73"/>
        <v>17.16</v>
      </c>
      <c r="L438" s="11"/>
    </row>
    <row r="439" spans="1:12" s="6" customFormat="1" ht="31.2" x14ac:dyDescent="0.3">
      <c r="A439" s="35" t="s">
        <v>475</v>
      </c>
      <c r="B439" s="12" t="s">
        <v>85</v>
      </c>
      <c r="C439" s="14" t="s">
        <v>327</v>
      </c>
      <c r="D439" s="12" t="s">
        <v>26</v>
      </c>
      <c r="E439" s="20">
        <f t="shared" si="77"/>
        <v>874200</v>
      </c>
      <c r="F439" s="20">
        <f t="shared" si="77"/>
        <v>874200</v>
      </c>
      <c r="G439" s="20">
        <f t="shared" si="77"/>
        <v>150000</v>
      </c>
      <c r="H439" s="20">
        <f t="shared" si="67"/>
        <v>724200</v>
      </c>
      <c r="I439" s="20">
        <f t="shared" si="72"/>
        <v>17.16</v>
      </c>
      <c r="J439" s="20">
        <f t="shared" si="73"/>
        <v>17.16</v>
      </c>
      <c r="L439" s="11"/>
    </row>
    <row r="440" spans="1:12" s="6" customFormat="1" ht="31.2" x14ac:dyDescent="0.25">
      <c r="A440" s="1" t="s">
        <v>284</v>
      </c>
      <c r="B440" s="14" t="s">
        <v>85</v>
      </c>
      <c r="C440" s="26" t="s">
        <v>503</v>
      </c>
      <c r="D440" s="12" t="s">
        <v>26</v>
      </c>
      <c r="E440" s="13">
        <f t="shared" si="77"/>
        <v>874200</v>
      </c>
      <c r="F440" s="13">
        <f t="shared" si="77"/>
        <v>874200</v>
      </c>
      <c r="G440" s="13">
        <f t="shared" si="77"/>
        <v>150000</v>
      </c>
      <c r="H440" s="13">
        <f t="shared" si="67"/>
        <v>724200</v>
      </c>
      <c r="I440" s="13">
        <f t="shared" si="72"/>
        <v>17.16</v>
      </c>
      <c r="J440" s="13">
        <f t="shared" si="73"/>
        <v>17.16</v>
      </c>
      <c r="L440" s="11"/>
    </row>
    <row r="441" spans="1:12" s="6" customFormat="1" ht="31.2" x14ac:dyDescent="0.25">
      <c r="A441" s="2" t="s">
        <v>193</v>
      </c>
      <c r="B441" s="14" t="s">
        <v>85</v>
      </c>
      <c r="C441" s="26" t="s">
        <v>503</v>
      </c>
      <c r="D441" s="12" t="s">
        <v>129</v>
      </c>
      <c r="E441" s="20">
        <v>874200</v>
      </c>
      <c r="F441" s="20">
        <v>874200</v>
      </c>
      <c r="G441" s="20">
        <v>150000</v>
      </c>
      <c r="H441" s="20">
        <f t="shared" si="67"/>
        <v>724200</v>
      </c>
      <c r="I441" s="20">
        <f t="shared" si="72"/>
        <v>17.16</v>
      </c>
      <c r="J441" s="20">
        <f t="shared" si="73"/>
        <v>17.16</v>
      </c>
      <c r="L441" s="11"/>
    </row>
    <row r="442" spans="1:12" s="6" customFormat="1" ht="15.6" x14ac:dyDescent="0.3">
      <c r="A442" s="35" t="s">
        <v>491</v>
      </c>
      <c r="B442" s="14" t="s">
        <v>85</v>
      </c>
      <c r="C442" s="14" t="s">
        <v>174</v>
      </c>
      <c r="D442" s="14" t="s">
        <v>26</v>
      </c>
      <c r="E442" s="20">
        <f t="shared" ref="E442:G444" si="78">E443</f>
        <v>3030000</v>
      </c>
      <c r="F442" s="20">
        <f t="shared" si="78"/>
        <v>3030000</v>
      </c>
      <c r="G442" s="20">
        <f t="shared" si="78"/>
        <v>900000</v>
      </c>
      <c r="H442" s="20">
        <f t="shared" si="67"/>
        <v>2130000</v>
      </c>
      <c r="I442" s="20">
        <f t="shared" si="72"/>
        <v>29.7</v>
      </c>
      <c r="J442" s="20">
        <f t="shared" si="73"/>
        <v>29.7</v>
      </c>
      <c r="L442" s="11"/>
    </row>
    <row r="443" spans="1:12" s="6" customFormat="1" ht="15.6" x14ac:dyDescent="0.3">
      <c r="A443" s="35" t="s">
        <v>281</v>
      </c>
      <c r="B443" s="14" t="s">
        <v>85</v>
      </c>
      <c r="C443" s="14" t="s">
        <v>195</v>
      </c>
      <c r="D443" s="14" t="s">
        <v>26</v>
      </c>
      <c r="E443" s="20">
        <f t="shared" si="78"/>
        <v>3030000</v>
      </c>
      <c r="F443" s="20">
        <f t="shared" si="78"/>
        <v>3030000</v>
      </c>
      <c r="G443" s="20">
        <f t="shared" si="78"/>
        <v>900000</v>
      </c>
      <c r="H443" s="20">
        <f t="shared" si="67"/>
        <v>2130000</v>
      </c>
      <c r="I443" s="20">
        <f t="shared" si="72"/>
        <v>29.7</v>
      </c>
      <c r="J443" s="20">
        <f t="shared" si="73"/>
        <v>29.7</v>
      </c>
      <c r="L443" s="11"/>
    </row>
    <row r="444" spans="1:12" s="6" customFormat="1" ht="93.6" x14ac:dyDescent="0.25">
      <c r="A444" s="1" t="s">
        <v>192</v>
      </c>
      <c r="B444" s="14" t="s">
        <v>85</v>
      </c>
      <c r="C444" s="14" t="s">
        <v>238</v>
      </c>
      <c r="D444" s="14" t="s">
        <v>26</v>
      </c>
      <c r="E444" s="20">
        <f t="shared" si="78"/>
        <v>3030000</v>
      </c>
      <c r="F444" s="20">
        <f t="shared" si="78"/>
        <v>3030000</v>
      </c>
      <c r="G444" s="20">
        <f t="shared" si="78"/>
        <v>900000</v>
      </c>
      <c r="H444" s="20">
        <f t="shared" si="67"/>
        <v>2130000</v>
      </c>
      <c r="I444" s="20">
        <f t="shared" ref="I444:I479" si="79">$G444/$E444*100</f>
        <v>29.7</v>
      </c>
      <c r="J444" s="20">
        <f t="shared" ref="J444:J479" si="80">$G444/$F444*100</f>
        <v>29.7</v>
      </c>
      <c r="L444" s="11"/>
    </row>
    <row r="445" spans="1:12" s="6" customFormat="1" ht="31.2" x14ac:dyDescent="0.25">
      <c r="A445" s="1" t="s">
        <v>193</v>
      </c>
      <c r="B445" s="14" t="s">
        <v>85</v>
      </c>
      <c r="C445" s="14" t="s">
        <v>238</v>
      </c>
      <c r="D445" s="14" t="s">
        <v>129</v>
      </c>
      <c r="E445" s="90">
        <v>3030000</v>
      </c>
      <c r="F445" s="90">
        <v>3030000</v>
      </c>
      <c r="G445" s="90">
        <v>900000</v>
      </c>
      <c r="H445" s="90">
        <f t="shared" si="67"/>
        <v>2130000</v>
      </c>
      <c r="I445" s="90">
        <f t="shared" si="79"/>
        <v>29.7</v>
      </c>
      <c r="J445" s="90">
        <f t="shared" si="80"/>
        <v>29.7</v>
      </c>
      <c r="L445" s="11"/>
    </row>
    <row r="446" spans="1:12" s="6" customFormat="1" ht="15.6" x14ac:dyDescent="0.25">
      <c r="A446" s="12" t="s">
        <v>70</v>
      </c>
      <c r="B446" s="12" t="s">
        <v>71</v>
      </c>
      <c r="C446" s="12" t="s">
        <v>146</v>
      </c>
      <c r="D446" s="27" t="s">
        <v>26</v>
      </c>
      <c r="E446" s="13">
        <f>E447+E458</f>
        <v>60894924.840000004</v>
      </c>
      <c r="F446" s="13">
        <f>F447+F458</f>
        <v>57352490.969999999</v>
      </c>
      <c r="G446" s="13">
        <f>G447+G458</f>
        <v>41731963.530000001</v>
      </c>
      <c r="H446" s="13">
        <f t="shared" si="67"/>
        <v>15620527.439999999</v>
      </c>
      <c r="I446" s="13">
        <f t="shared" si="79"/>
        <v>68.53</v>
      </c>
      <c r="J446" s="13">
        <f t="shared" si="80"/>
        <v>72.760000000000005</v>
      </c>
      <c r="L446" s="11"/>
    </row>
    <row r="447" spans="1:12" s="6" customFormat="1" ht="46.8" x14ac:dyDescent="0.25">
      <c r="A447" s="1" t="s">
        <v>329</v>
      </c>
      <c r="B447" s="27" t="s">
        <v>71</v>
      </c>
      <c r="C447" s="27" t="s">
        <v>5</v>
      </c>
      <c r="D447" s="27" t="s">
        <v>26</v>
      </c>
      <c r="E447" s="13">
        <f t="shared" ref="E447:G449" si="81">E448</f>
        <v>19410051.969999999</v>
      </c>
      <c r="F447" s="13">
        <f t="shared" si="81"/>
        <v>19410051.969999999</v>
      </c>
      <c r="G447" s="13">
        <f t="shared" si="81"/>
        <v>8817242.5299999993</v>
      </c>
      <c r="H447" s="13">
        <f t="shared" si="67"/>
        <v>10592809.439999999</v>
      </c>
      <c r="I447" s="13">
        <f t="shared" si="79"/>
        <v>45.43</v>
      </c>
      <c r="J447" s="13">
        <f t="shared" si="80"/>
        <v>45.43</v>
      </c>
      <c r="L447" s="11"/>
    </row>
    <row r="448" spans="1:12" s="6" customFormat="1" ht="31.2" x14ac:dyDescent="0.25">
      <c r="A448" s="1" t="s">
        <v>23</v>
      </c>
      <c r="B448" s="12" t="s">
        <v>71</v>
      </c>
      <c r="C448" s="12" t="s">
        <v>330</v>
      </c>
      <c r="D448" s="27" t="s">
        <v>26</v>
      </c>
      <c r="E448" s="13">
        <f>E449+E454</f>
        <v>19410051.969999999</v>
      </c>
      <c r="F448" s="13">
        <f t="shared" ref="F448:G448" si="82">F449+F454</f>
        <v>19410051.969999999</v>
      </c>
      <c r="G448" s="13">
        <f t="shared" si="82"/>
        <v>8817242.5299999993</v>
      </c>
      <c r="H448" s="13">
        <f t="shared" si="67"/>
        <v>10592809.439999999</v>
      </c>
      <c r="I448" s="13">
        <f t="shared" si="79"/>
        <v>45.43</v>
      </c>
      <c r="J448" s="13">
        <f t="shared" si="80"/>
        <v>45.43</v>
      </c>
      <c r="L448" s="11"/>
    </row>
    <row r="449" spans="1:12" s="6" customFormat="1" ht="46.8" x14ac:dyDescent="0.25">
      <c r="A449" s="2" t="s">
        <v>374</v>
      </c>
      <c r="B449" s="12" t="s">
        <v>71</v>
      </c>
      <c r="C449" s="12" t="s">
        <v>331</v>
      </c>
      <c r="D449" s="12" t="s">
        <v>26</v>
      </c>
      <c r="E449" s="92">
        <f t="shared" si="81"/>
        <v>13962739.970000001</v>
      </c>
      <c r="F449" s="92">
        <f t="shared" si="81"/>
        <v>13962739.970000001</v>
      </c>
      <c r="G449" s="92">
        <f t="shared" si="81"/>
        <v>6373023.9000000004</v>
      </c>
      <c r="H449" s="92">
        <f t="shared" ref="H449:H508" si="83">$F449-$G449</f>
        <v>7589716.0700000003</v>
      </c>
      <c r="I449" s="92">
        <f t="shared" si="79"/>
        <v>45.64</v>
      </c>
      <c r="J449" s="92">
        <f t="shared" si="80"/>
        <v>45.64</v>
      </c>
      <c r="L449" s="11"/>
    </row>
    <row r="450" spans="1:12" s="6" customFormat="1" ht="93.6" x14ac:dyDescent="0.25">
      <c r="A450" s="1" t="s">
        <v>230</v>
      </c>
      <c r="B450" s="14" t="s">
        <v>71</v>
      </c>
      <c r="C450" s="14" t="s">
        <v>480</v>
      </c>
      <c r="D450" s="39" t="s">
        <v>26</v>
      </c>
      <c r="E450" s="20">
        <f>E451+E452+E453</f>
        <v>13962739.970000001</v>
      </c>
      <c r="F450" s="20">
        <f>F451+F452+F453</f>
        <v>13962739.970000001</v>
      </c>
      <c r="G450" s="20">
        <f>G451+G452+G453</f>
        <v>6373023.9000000004</v>
      </c>
      <c r="H450" s="20">
        <f t="shared" si="83"/>
        <v>7589716.0700000003</v>
      </c>
      <c r="I450" s="20">
        <f t="shared" si="79"/>
        <v>45.64</v>
      </c>
      <c r="J450" s="20">
        <f t="shared" si="80"/>
        <v>45.64</v>
      </c>
      <c r="L450" s="11"/>
    </row>
    <row r="451" spans="1:12" s="6" customFormat="1" ht="31.2" x14ac:dyDescent="0.25">
      <c r="A451" s="31" t="s">
        <v>117</v>
      </c>
      <c r="B451" s="14" t="s">
        <v>71</v>
      </c>
      <c r="C451" s="14" t="s">
        <v>480</v>
      </c>
      <c r="D451" s="39" t="s">
        <v>118</v>
      </c>
      <c r="E451" s="20">
        <v>160000</v>
      </c>
      <c r="F451" s="20">
        <v>160000</v>
      </c>
      <c r="G451" s="20">
        <v>0</v>
      </c>
      <c r="H451" s="20">
        <f t="shared" ref="H451:H457" si="84">$F451-$G451</f>
        <v>160000</v>
      </c>
      <c r="I451" s="20">
        <f t="shared" ref="I451:I457" si="85">$G451/$E451*100</f>
        <v>0</v>
      </c>
      <c r="J451" s="20">
        <f t="shared" ref="J451:J457" si="86">$G451/$F451*100</f>
        <v>0</v>
      </c>
      <c r="L451" s="11"/>
    </row>
    <row r="452" spans="1:12" s="6" customFormat="1" ht="31.2" x14ac:dyDescent="0.25">
      <c r="A452" s="1" t="s">
        <v>126</v>
      </c>
      <c r="B452" s="14" t="s">
        <v>71</v>
      </c>
      <c r="C452" s="14" t="s">
        <v>480</v>
      </c>
      <c r="D452" s="39" t="s">
        <v>127</v>
      </c>
      <c r="E452" s="20">
        <v>9756747.1699999999</v>
      </c>
      <c r="F452" s="20">
        <v>9756747.1699999999</v>
      </c>
      <c r="G452" s="20">
        <v>5572797</v>
      </c>
      <c r="H452" s="20">
        <f t="shared" si="84"/>
        <v>4183950.17</v>
      </c>
      <c r="I452" s="20">
        <f t="shared" si="85"/>
        <v>57.12</v>
      </c>
      <c r="J452" s="20">
        <f t="shared" si="86"/>
        <v>57.12</v>
      </c>
      <c r="L452" s="11"/>
    </row>
    <row r="453" spans="1:12" s="6" customFormat="1" ht="31.2" x14ac:dyDescent="0.25">
      <c r="A453" s="36" t="s">
        <v>126</v>
      </c>
      <c r="B453" s="14" t="s">
        <v>71</v>
      </c>
      <c r="C453" s="14" t="s">
        <v>480</v>
      </c>
      <c r="D453" s="39" t="s">
        <v>129</v>
      </c>
      <c r="E453" s="20">
        <v>4045992.8</v>
      </c>
      <c r="F453" s="20">
        <v>4045992.8</v>
      </c>
      <c r="G453" s="20">
        <v>800226.9</v>
      </c>
      <c r="H453" s="20">
        <f t="shared" si="84"/>
        <v>3245765.9</v>
      </c>
      <c r="I453" s="20">
        <f t="shared" si="85"/>
        <v>19.78</v>
      </c>
      <c r="J453" s="20">
        <f t="shared" si="86"/>
        <v>19.78</v>
      </c>
      <c r="L453" s="11"/>
    </row>
    <row r="454" spans="1:12" s="6" customFormat="1" ht="31.2" x14ac:dyDescent="0.25">
      <c r="A454" s="2" t="s">
        <v>332</v>
      </c>
      <c r="B454" s="12" t="s">
        <v>71</v>
      </c>
      <c r="C454" s="12" t="s">
        <v>375</v>
      </c>
      <c r="D454" s="27" t="s">
        <v>26</v>
      </c>
      <c r="E454" s="13">
        <f t="shared" ref="E454:G454" si="87">E455</f>
        <v>5447312</v>
      </c>
      <c r="F454" s="13">
        <f t="shared" si="87"/>
        <v>5447312</v>
      </c>
      <c r="G454" s="13">
        <f t="shared" si="87"/>
        <v>2444218.63</v>
      </c>
      <c r="H454" s="13">
        <f t="shared" si="84"/>
        <v>3003093.37</v>
      </c>
      <c r="I454" s="13">
        <f t="shared" si="85"/>
        <v>44.87</v>
      </c>
      <c r="J454" s="13">
        <f t="shared" si="86"/>
        <v>44.87</v>
      </c>
      <c r="L454" s="11"/>
    </row>
    <row r="455" spans="1:12" s="6" customFormat="1" ht="78" x14ac:dyDescent="0.25">
      <c r="A455" s="2" t="s">
        <v>24</v>
      </c>
      <c r="B455" s="12" t="s">
        <v>71</v>
      </c>
      <c r="C455" s="12" t="s">
        <v>376</v>
      </c>
      <c r="D455" s="27" t="s">
        <v>26</v>
      </c>
      <c r="E455" s="13">
        <f>E456+E457</f>
        <v>5447312</v>
      </c>
      <c r="F455" s="13">
        <f>F456+F457</f>
        <v>5447312</v>
      </c>
      <c r="G455" s="13">
        <f>G456+G457</f>
        <v>2444218.63</v>
      </c>
      <c r="H455" s="13">
        <f t="shared" si="84"/>
        <v>3003093.37</v>
      </c>
      <c r="I455" s="13">
        <f t="shared" si="85"/>
        <v>44.87</v>
      </c>
      <c r="J455" s="13">
        <f t="shared" si="86"/>
        <v>44.87</v>
      </c>
      <c r="L455" s="11"/>
    </row>
    <row r="456" spans="1:12" s="6" customFormat="1" ht="31.2" x14ac:dyDescent="0.25">
      <c r="A456" s="15" t="s">
        <v>117</v>
      </c>
      <c r="B456" s="12" t="s">
        <v>71</v>
      </c>
      <c r="C456" s="12" t="s">
        <v>376</v>
      </c>
      <c r="D456" s="27" t="s">
        <v>118</v>
      </c>
      <c r="E456" s="13">
        <v>40000</v>
      </c>
      <c r="F456" s="13">
        <v>40000</v>
      </c>
      <c r="G456" s="13">
        <v>21916.94</v>
      </c>
      <c r="H456" s="13">
        <f t="shared" si="84"/>
        <v>18083.060000000001</v>
      </c>
      <c r="I456" s="13">
        <f t="shared" si="85"/>
        <v>54.79</v>
      </c>
      <c r="J456" s="13">
        <f t="shared" si="86"/>
        <v>54.79</v>
      </c>
      <c r="L456" s="11"/>
    </row>
    <row r="457" spans="1:12" s="6" customFormat="1" ht="31.2" x14ac:dyDescent="0.25">
      <c r="A457" s="2" t="s">
        <v>193</v>
      </c>
      <c r="B457" s="12" t="s">
        <v>71</v>
      </c>
      <c r="C457" s="12" t="s">
        <v>376</v>
      </c>
      <c r="D457" s="27" t="s">
        <v>129</v>
      </c>
      <c r="E457" s="29">
        <v>5407312</v>
      </c>
      <c r="F457" s="29">
        <v>5407312</v>
      </c>
      <c r="G457" s="29">
        <v>2422301.69</v>
      </c>
      <c r="H457" s="29">
        <f t="shared" si="84"/>
        <v>2985010.31</v>
      </c>
      <c r="I457" s="29">
        <f t="shared" si="85"/>
        <v>44.8</v>
      </c>
      <c r="J457" s="29">
        <f t="shared" si="86"/>
        <v>44.8</v>
      </c>
      <c r="L457" s="11"/>
    </row>
    <row r="458" spans="1:12" s="6" customFormat="1" ht="62.4" x14ac:dyDescent="0.25">
      <c r="A458" s="1" t="s">
        <v>377</v>
      </c>
      <c r="B458" s="12" t="s">
        <v>71</v>
      </c>
      <c r="C458" s="12" t="s">
        <v>167</v>
      </c>
      <c r="D458" s="12" t="s">
        <v>26</v>
      </c>
      <c r="E458" s="13">
        <f>E459+E465</f>
        <v>41484872.869999997</v>
      </c>
      <c r="F458" s="13">
        <f>F459+F465</f>
        <v>37942439</v>
      </c>
      <c r="G458" s="13">
        <f>G459+G465</f>
        <v>32914721</v>
      </c>
      <c r="H458" s="13">
        <f t="shared" si="83"/>
        <v>5027718</v>
      </c>
      <c r="I458" s="13">
        <f t="shared" si="79"/>
        <v>79.34</v>
      </c>
      <c r="J458" s="13">
        <f t="shared" si="80"/>
        <v>86.75</v>
      </c>
      <c r="L458" s="11"/>
    </row>
    <row r="459" spans="1:12" s="6" customFormat="1" ht="31.2" x14ac:dyDescent="0.25">
      <c r="A459" s="1" t="s">
        <v>378</v>
      </c>
      <c r="B459" s="12" t="s">
        <v>71</v>
      </c>
      <c r="C459" s="12" t="s">
        <v>6</v>
      </c>
      <c r="D459" s="12" t="s">
        <v>26</v>
      </c>
      <c r="E459" s="13">
        <f>E460</f>
        <v>6366471.4699999997</v>
      </c>
      <c r="F459" s="13">
        <f>F460</f>
        <v>7679975</v>
      </c>
      <c r="G459" s="13">
        <f>G460</f>
        <v>7679975</v>
      </c>
      <c r="H459" s="13">
        <f t="shared" si="83"/>
        <v>0</v>
      </c>
      <c r="I459" s="13">
        <f t="shared" si="79"/>
        <v>120.63</v>
      </c>
      <c r="J459" s="13">
        <f t="shared" si="80"/>
        <v>100</v>
      </c>
      <c r="L459" s="11"/>
    </row>
    <row r="460" spans="1:12" s="6" customFormat="1" ht="46.8" x14ac:dyDescent="0.25">
      <c r="A460" s="1" t="s">
        <v>472</v>
      </c>
      <c r="B460" s="12" t="s">
        <v>71</v>
      </c>
      <c r="C460" s="12" t="s">
        <v>379</v>
      </c>
      <c r="D460" s="12" t="s">
        <v>26</v>
      </c>
      <c r="E460" s="13">
        <f>E461+E463</f>
        <v>6366471.4699999997</v>
      </c>
      <c r="F460" s="13">
        <f>F461+F463</f>
        <v>7679975</v>
      </c>
      <c r="G460" s="13">
        <f>G461+G463</f>
        <v>7679975</v>
      </c>
      <c r="H460" s="13">
        <f t="shared" si="83"/>
        <v>0</v>
      </c>
      <c r="I460" s="13">
        <f t="shared" si="79"/>
        <v>120.63</v>
      </c>
      <c r="J460" s="13">
        <f t="shared" si="80"/>
        <v>100</v>
      </c>
      <c r="L460" s="11"/>
    </row>
    <row r="461" spans="1:12" s="6" customFormat="1" ht="62.4" x14ac:dyDescent="0.25">
      <c r="A461" s="1" t="s">
        <v>252</v>
      </c>
      <c r="B461" s="12" t="s">
        <v>71</v>
      </c>
      <c r="C461" s="12" t="s">
        <v>185</v>
      </c>
      <c r="D461" s="12" t="s">
        <v>26</v>
      </c>
      <c r="E461" s="13">
        <f>E462</f>
        <v>4715904.79</v>
      </c>
      <c r="F461" s="13">
        <f>F462</f>
        <v>6029408.3200000003</v>
      </c>
      <c r="G461" s="13">
        <f>G462</f>
        <v>6029408.3200000003</v>
      </c>
      <c r="H461" s="13">
        <f t="shared" si="83"/>
        <v>0</v>
      </c>
      <c r="I461" s="13">
        <f t="shared" si="79"/>
        <v>127.85</v>
      </c>
      <c r="J461" s="13">
        <f t="shared" si="80"/>
        <v>100</v>
      </c>
      <c r="L461" s="11"/>
    </row>
    <row r="462" spans="1:12" s="6" customFormat="1" ht="31.2" x14ac:dyDescent="0.25">
      <c r="A462" s="2" t="s">
        <v>128</v>
      </c>
      <c r="B462" s="12" t="s">
        <v>71</v>
      </c>
      <c r="C462" s="12" t="s">
        <v>185</v>
      </c>
      <c r="D462" s="12" t="s">
        <v>129</v>
      </c>
      <c r="E462" s="29">
        <v>4715904.79</v>
      </c>
      <c r="F462" s="29">
        <f>4715904.79+1313503.53</f>
        <v>6029408.3200000003</v>
      </c>
      <c r="G462" s="29">
        <f>4715904.79+1313503.53</f>
        <v>6029408.3200000003</v>
      </c>
      <c r="H462" s="29">
        <f t="shared" si="83"/>
        <v>0</v>
      </c>
      <c r="I462" s="29">
        <f t="shared" si="79"/>
        <v>127.85</v>
      </c>
      <c r="J462" s="29">
        <f t="shared" si="80"/>
        <v>100</v>
      </c>
      <c r="L462" s="11"/>
    </row>
    <row r="463" spans="1:12" s="6" customFormat="1" ht="46.8" x14ac:dyDescent="0.25">
      <c r="A463" s="2" t="s">
        <v>253</v>
      </c>
      <c r="B463" s="12" t="s">
        <v>71</v>
      </c>
      <c r="C463" s="12" t="s">
        <v>185</v>
      </c>
      <c r="D463" s="12" t="s">
        <v>26</v>
      </c>
      <c r="E463" s="20">
        <f>E464</f>
        <v>1650566.68</v>
      </c>
      <c r="F463" s="20">
        <f>F464</f>
        <v>1650566.68</v>
      </c>
      <c r="G463" s="20">
        <f>G464</f>
        <v>1650566.68</v>
      </c>
      <c r="H463" s="20">
        <f t="shared" si="83"/>
        <v>0</v>
      </c>
      <c r="I463" s="20">
        <f t="shared" si="79"/>
        <v>100</v>
      </c>
      <c r="J463" s="20">
        <f t="shared" si="80"/>
        <v>100</v>
      </c>
      <c r="L463" s="11"/>
    </row>
    <row r="464" spans="1:12" s="6" customFormat="1" ht="31.2" x14ac:dyDescent="0.25">
      <c r="A464" s="2" t="s">
        <v>128</v>
      </c>
      <c r="B464" s="12" t="s">
        <v>71</v>
      </c>
      <c r="C464" s="12" t="s">
        <v>185</v>
      </c>
      <c r="D464" s="12" t="s">
        <v>129</v>
      </c>
      <c r="E464" s="20">
        <v>1650566.68</v>
      </c>
      <c r="F464" s="20">
        <v>1650566.68</v>
      </c>
      <c r="G464" s="20">
        <v>1650566.68</v>
      </c>
      <c r="H464" s="20">
        <f t="shared" si="83"/>
        <v>0</v>
      </c>
      <c r="I464" s="20">
        <f t="shared" si="79"/>
        <v>100</v>
      </c>
      <c r="J464" s="20">
        <f t="shared" si="80"/>
        <v>100</v>
      </c>
      <c r="L464" s="11"/>
    </row>
    <row r="465" spans="1:12" s="6" customFormat="1" ht="62.4" x14ac:dyDescent="0.25">
      <c r="A465" s="1" t="s">
        <v>380</v>
      </c>
      <c r="B465" s="12" t="s">
        <v>71</v>
      </c>
      <c r="C465" s="12" t="s">
        <v>201</v>
      </c>
      <c r="D465" s="12" t="s">
        <v>26</v>
      </c>
      <c r="E465" s="13">
        <f>E466</f>
        <v>35118401.399999999</v>
      </c>
      <c r="F465" s="13">
        <f>F466</f>
        <v>30262464</v>
      </c>
      <c r="G465" s="13">
        <f>G466</f>
        <v>25234746</v>
      </c>
      <c r="H465" s="13">
        <f t="shared" si="83"/>
        <v>5027718</v>
      </c>
      <c r="I465" s="13">
        <f t="shared" si="79"/>
        <v>71.86</v>
      </c>
      <c r="J465" s="13">
        <f t="shared" si="80"/>
        <v>83.39</v>
      </c>
      <c r="L465" s="11"/>
    </row>
    <row r="466" spans="1:12" s="6" customFormat="1" ht="78" x14ac:dyDescent="0.25">
      <c r="A466" s="1" t="s">
        <v>199</v>
      </c>
      <c r="B466" s="12" t="s">
        <v>71</v>
      </c>
      <c r="C466" s="12" t="s">
        <v>202</v>
      </c>
      <c r="D466" s="12" t="s">
        <v>26</v>
      </c>
      <c r="E466" s="91">
        <f>E467+E469</f>
        <v>35118401.399999999</v>
      </c>
      <c r="F466" s="91">
        <f>F467+F469</f>
        <v>30262464</v>
      </c>
      <c r="G466" s="91">
        <f>G467+G469</f>
        <v>25234746</v>
      </c>
      <c r="H466" s="91">
        <f t="shared" si="83"/>
        <v>5027718</v>
      </c>
      <c r="I466" s="91">
        <f t="shared" si="79"/>
        <v>71.86</v>
      </c>
      <c r="J466" s="91">
        <f t="shared" si="80"/>
        <v>83.39</v>
      </c>
      <c r="L466" s="11"/>
    </row>
    <row r="467" spans="1:12" s="6" customFormat="1" ht="62.4" x14ac:dyDescent="0.25">
      <c r="A467" s="1" t="s">
        <v>219</v>
      </c>
      <c r="B467" s="12" t="s">
        <v>71</v>
      </c>
      <c r="C467" s="26" t="s">
        <v>237</v>
      </c>
      <c r="D467" s="12" t="s">
        <v>26</v>
      </c>
      <c r="E467" s="20">
        <f>E468</f>
        <v>13621230</v>
      </c>
      <c r="F467" s="20">
        <f>F468</f>
        <v>12195264</v>
      </c>
      <c r="G467" s="20">
        <f>G468</f>
        <v>12195264</v>
      </c>
      <c r="H467" s="20">
        <f t="shared" si="83"/>
        <v>0</v>
      </c>
      <c r="I467" s="20">
        <f t="shared" si="79"/>
        <v>89.53</v>
      </c>
      <c r="J467" s="20">
        <f t="shared" si="80"/>
        <v>100</v>
      </c>
      <c r="L467" s="11"/>
    </row>
    <row r="468" spans="1:12" s="6" customFormat="1" ht="15.6" x14ac:dyDescent="0.25">
      <c r="A468" s="12" t="s">
        <v>124</v>
      </c>
      <c r="B468" s="12" t="s">
        <v>71</v>
      </c>
      <c r="C468" s="26" t="s">
        <v>237</v>
      </c>
      <c r="D468" s="12" t="s">
        <v>125</v>
      </c>
      <c r="E468" s="20">
        <f>13621230</f>
        <v>13621230</v>
      </c>
      <c r="F468" s="20">
        <f>13621230-70830-1355136</f>
        <v>12195264</v>
      </c>
      <c r="G468" s="20">
        <f>13621230-70830-1355136</f>
        <v>12195264</v>
      </c>
      <c r="H468" s="20">
        <f t="shared" si="83"/>
        <v>0</v>
      </c>
      <c r="I468" s="20">
        <f t="shared" si="79"/>
        <v>89.53</v>
      </c>
      <c r="J468" s="20">
        <f t="shared" si="80"/>
        <v>100</v>
      </c>
      <c r="L468" s="11"/>
    </row>
    <row r="469" spans="1:12" s="6" customFormat="1" ht="62.4" x14ac:dyDescent="0.25">
      <c r="A469" s="1" t="s">
        <v>200</v>
      </c>
      <c r="B469" s="12" t="s">
        <v>71</v>
      </c>
      <c r="C469" s="26" t="s">
        <v>528</v>
      </c>
      <c r="D469" s="12" t="s">
        <v>26</v>
      </c>
      <c r="E469" s="20">
        <f>E470</f>
        <v>21497171.399999999</v>
      </c>
      <c r="F469" s="20">
        <f>F470</f>
        <v>18067200</v>
      </c>
      <c r="G469" s="20">
        <f>G470</f>
        <v>13039482</v>
      </c>
      <c r="H469" s="20">
        <f t="shared" si="83"/>
        <v>5027718</v>
      </c>
      <c r="I469" s="20">
        <f t="shared" si="79"/>
        <v>60.66</v>
      </c>
      <c r="J469" s="20">
        <f t="shared" si="80"/>
        <v>72.17</v>
      </c>
      <c r="L469" s="11"/>
    </row>
    <row r="470" spans="1:12" s="6" customFormat="1" ht="15.6" x14ac:dyDescent="0.25">
      <c r="A470" s="12" t="s">
        <v>124</v>
      </c>
      <c r="B470" s="12" t="s">
        <v>71</v>
      </c>
      <c r="C470" s="26" t="s">
        <v>528</v>
      </c>
      <c r="D470" s="12" t="s">
        <v>125</v>
      </c>
      <c r="E470" s="20">
        <f>21497171.4</f>
        <v>21497171.399999999</v>
      </c>
      <c r="F470" s="20">
        <f>20648704.2-2581504.2</f>
        <v>18067200</v>
      </c>
      <c r="G470" s="20">
        <v>13039482</v>
      </c>
      <c r="H470" s="20">
        <f t="shared" si="83"/>
        <v>5027718</v>
      </c>
      <c r="I470" s="20">
        <f t="shared" si="79"/>
        <v>60.66</v>
      </c>
      <c r="J470" s="20">
        <f t="shared" si="80"/>
        <v>72.17</v>
      </c>
      <c r="L470" s="11"/>
    </row>
    <row r="471" spans="1:12" s="6" customFormat="1" ht="15.6" x14ac:dyDescent="0.25">
      <c r="A471" s="74" t="s">
        <v>106</v>
      </c>
      <c r="B471" s="12" t="s">
        <v>107</v>
      </c>
      <c r="C471" s="12" t="s">
        <v>146</v>
      </c>
      <c r="D471" s="12" t="s">
        <v>26</v>
      </c>
      <c r="E471" s="13">
        <f>E472+E479+E489</f>
        <v>3105978.16</v>
      </c>
      <c r="F471" s="13">
        <f t="shared" ref="F471:G471" si="88">F472+F479+F489</f>
        <v>3893695.07</v>
      </c>
      <c r="G471" s="13">
        <f t="shared" si="88"/>
        <v>911814.43</v>
      </c>
      <c r="H471" s="13">
        <f t="shared" si="83"/>
        <v>2981880.64</v>
      </c>
      <c r="I471" s="13">
        <f t="shared" si="79"/>
        <v>29.36</v>
      </c>
      <c r="J471" s="13">
        <f t="shared" si="80"/>
        <v>23.42</v>
      </c>
      <c r="L471" s="11"/>
    </row>
    <row r="472" spans="1:12" s="6" customFormat="1" ht="46.8" x14ac:dyDescent="0.25">
      <c r="A472" s="2" t="s">
        <v>496</v>
      </c>
      <c r="B472" s="12" t="s">
        <v>107</v>
      </c>
      <c r="C472" s="12" t="s">
        <v>0</v>
      </c>
      <c r="D472" s="12" t="s">
        <v>26</v>
      </c>
      <c r="E472" s="13">
        <f t="shared" ref="E472:G473" si="89">E473</f>
        <v>861000</v>
      </c>
      <c r="F472" s="13">
        <f t="shared" si="89"/>
        <v>861000</v>
      </c>
      <c r="G472" s="13">
        <f t="shared" si="89"/>
        <v>48000</v>
      </c>
      <c r="H472" s="13">
        <f t="shared" ref="H472:H478" si="90">$F472-$G472</f>
        <v>813000</v>
      </c>
      <c r="I472" s="13">
        <f t="shared" ref="I472:I478" si="91">$G472/$E472*100</f>
        <v>5.57</v>
      </c>
      <c r="J472" s="13">
        <f t="shared" ref="J472:J478" si="92">$G472/$F472*100</f>
        <v>5.57</v>
      </c>
      <c r="L472" s="11"/>
    </row>
    <row r="473" spans="1:12" s="6" customFormat="1" ht="31.2" x14ac:dyDescent="0.25">
      <c r="A473" s="2" t="s">
        <v>323</v>
      </c>
      <c r="B473" s="12" t="s">
        <v>107</v>
      </c>
      <c r="C473" s="12" t="s">
        <v>21</v>
      </c>
      <c r="D473" s="27" t="s">
        <v>26</v>
      </c>
      <c r="E473" s="13">
        <f t="shared" si="89"/>
        <v>861000</v>
      </c>
      <c r="F473" s="13">
        <f t="shared" si="89"/>
        <v>861000</v>
      </c>
      <c r="G473" s="13">
        <f t="shared" si="89"/>
        <v>48000</v>
      </c>
      <c r="H473" s="13">
        <f t="shared" si="90"/>
        <v>813000</v>
      </c>
      <c r="I473" s="13">
        <f t="shared" si="91"/>
        <v>5.57</v>
      </c>
      <c r="J473" s="13">
        <f t="shared" si="92"/>
        <v>5.57</v>
      </c>
      <c r="L473" s="11"/>
    </row>
    <row r="474" spans="1:12" s="6" customFormat="1" ht="46.8" x14ac:dyDescent="0.25">
      <c r="A474" s="1" t="s">
        <v>328</v>
      </c>
      <c r="B474" s="14" t="s">
        <v>107</v>
      </c>
      <c r="C474" s="14" t="s">
        <v>327</v>
      </c>
      <c r="D474" s="14" t="s">
        <v>26</v>
      </c>
      <c r="E474" s="20">
        <f>E475+E477</f>
        <v>861000</v>
      </c>
      <c r="F474" s="20">
        <f>F475+F477</f>
        <v>861000</v>
      </c>
      <c r="G474" s="20">
        <f>G475+G477</f>
        <v>48000</v>
      </c>
      <c r="H474" s="20">
        <f t="shared" si="90"/>
        <v>813000</v>
      </c>
      <c r="I474" s="20">
        <f t="shared" si="91"/>
        <v>5.57</v>
      </c>
      <c r="J474" s="20">
        <f t="shared" si="92"/>
        <v>5.57</v>
      </c>
      <c r="L474" s="11"/>
    </row>
    <row r="475" spans="1:12" s="6" customFormat="1" ht="46.8" x14ac:dyDescent="0.25">
      <c r="A475" s="2" t="s">
        <v>420</v>
      </c>
      <c r="B475" s="12" t="s">
        <v>107</v>
      </c>
      <c r="C475" s="12" t="s">
        <v>419</v>
      </c>
      <c r="D475" s="12" t="s">
        <v>26</v>
      </c>
      <c r="E475" s="92">
        <f>E476</f>
        <v>765000</v>
      </c>
      <c r="F475" s="92">
        <f>F476</f>
        <v>765000</v>
      </c>
      <c r="G475" s="92">
        <f>G476</f>
        <v>0</v>
      </c>
      <c r="H475" s="92">
        <f t="shared" si="90"/>
        <v>765000</v>
      </c>
      <c r="I475" s="92">
        <f t="shared" si="91"/>
        <v>0</v>
      </c>
      <c r="J475" s="92">
        <f t="shared" si="92"/>
        <v>0</v>
      </c>
      <c r="L475" s="11"/>
    </row>
    <row r="476" spans="1:12" s="6" customFormat="1" ht="31.2" x14ac:dyDescent="0.25">
      <c r="A476" s="2" t="s">
        <v>193</v>
      </c>
      <c r="B476" s="12" t="s">
        <v>107</v>
      </c>
      <c r="C476" s="12" t="s">
        <v>419</v>
      </c>
      <c r="D476" s="12" t="s">
        <v>129</v>
      </c>
      <c r="E476" s="20">
        <v>765000</v>
      </c>
      <c r="F476" s="20">
        <v>765000</v>
      </c>
      <c r="G476" s="20">
        <v>0</v>
      </c>
      <c r="H476" s="20">
        <f t="shared" si="90"/>
        <v>765000</v>
      </c>
      <c r="I476" s="20">
        <f t="shared" si="91"/>
        <v>0</v>
      </c>
      <c r="J476" s="20">
        <f t="shared" si="92"/>
        <v>0</v>
      </c>
      <c r="L476" s="11"/>
    </row>
    <row r="477" spans="1:12" s="6" customFormat="1" ht="15.6" x14ac:dyDescent="0.25">
      <c r="A477" s="2" t="s">
        <v>206</v>
      </c>
      <c r="B477" s="12" t="s">
        <v>107</v>
      </c>
      <c r="C477" s="12" t="s">
        <v>333</v>
      </c>
      <c r="D477" s="12" t="s">
        <v>26</v>
      </c>
      <c r="E477" s="20">
        <f>E478</f>
        <v>96000</v>
      </c>
      <c r="F477" s="20">
        <f>F478</f>
        <v>96000</v>
      </c>
      <c r="G477" s="20">
        <f>G478</f>
        <v>48000</v>
      </c>
      <c r="H477" s="20">
        <f t="shared" si="90"/>
        <v>48000</v>
      </c>
      <c r="I477" s="20">
        <f t="shared" si="91"/>
        <v>50</v>
      </c>
      <c r="J477" s="20">
        <f t="shared" si="92"/>
        <v>50</v>
      </c>
      <c r="L477" s="11"/>
    </row>
    <row r="478" spans="1:12" s="6" customFormat="1" ht="31.2" x14ac:dyDescent="0.25">
      <c r="A478" s="2" t="s">
        <v>193</v>
      </c>
      <c r="B478" s="12" t="s">
        <v>107</v>
      </c>
      <c r="C478" s="12" t="s">
        <v>333</v>
      </c>
      <c r="D478" s="12" t="s">
        <v>129</v>
      </c>
      <c r="E478" s="20">
        <v>96000</v>
      </c>
      <c r="F478" s="20">
        <v>96000</v>
      </c>
      <c r="G478" s="20">
        <v>48000</v>
      </c>
      <c r="H478" s="20">
        <f t="shared" si="90"/>
        <v>48000</v>
      </c>
      <c r="I478" s="20">
        <f t="shared" si="91"/>
        <v>50</v>
      </c>
      <c r="J478" s="20">
        <f t="shared" si="92"/>
        <v>50</v>
      </c>
      <c r="L478" s="11"/>
    </row>
    <row r="479" spans="1:12" s="6" customFormat="1" ht="46.8" x14ac:dyDescent="0.25">
      <c r="A479" s="1" t="s">
        <v>329</v>
      </c>
      <c r="B479" s="27" t="s">
        <v>107</v>
      </c>
      <c r="C479" s="27" t="s">
        <v>5</v>
      </c>
      <c r="D479" s="27" t="s">
        <v>26</v>
      </c>
      <c r="E479" s="13">
        <f>E480</f>
        <v>1000000</v>
      </c>
      <c r="F479" s="13">
        <f>F480</f>
        <v>1000000</v>
      </c>
      <c r="G479" s="13">
        <f>G480</f>
        <v>0</v>
      </c>
      <c r="H479" s="13">
        <f t="shared" si="83"/>
        <v>1000000</v>
      </c>
      <c r="I479" s="13">
        <f t="shared" si="79"/>
        <v>0</v>
      </c>
      <c r="J479" s="13">
        <f t="shared" si="80"/>
        <v>0</v>
      </c>
      <c r="L479" s="11"/>
    </row>
    <row r="480" spans="1:12" s="6" customFormat="1" ht="15.6" x14ac:dyDescent="0.25">
      <c r="A480" s="1" t="s">
        <v>7</v>
      </c>
      <c r="B480" s="12" t="s">
        <v>107</v>
      </c>
      <c r="C480" s="12" t="s">
        <v>381</v>
      </c>
      <c r="D480" s="12" t="s">
        <v>26</v>
      </c>
      <c r="E480" s="20">
        <f>E481+E486</f>
        <v>1000000</v>
      </c>
      <c r="F480" s="20">
        <f>F481+F486</f>
        <v>1000000</v>
      </c>
      <c r="G480" s="20">
        <f>G481+G486</f>
        <v>0</v>
      </c>
      <c r="H480" s="20">
        <f t="shared" si="83"/>
        <v>1000000</v>
      </c>
      <c r="I480" s="20">
        <f t="shared" ref="I480:I485" si="93">$G480/$E480*100</f>
        <v>0</v>
      </c>
      <c r="J480" s="20">
        <f t="shared" ref="J480:J504" si="94">$G480/$F480*100</f>
        <v>0</v>
      </c>
      <c r="L480" s="11"/>
    </row>
    <row r="481" spans="1:12" s="6" customFormat="1" ht="78" x14ac:dyDescent="0.25">
      <c r="A481" s="25" t="s">
        <v>382</v>
      </c>
      <c r="B481" s="12" t="s">
        <v>107</v>
      </c>
      <c r="C481" s="26" t="s">
        <v>481</v>
      </c>
      <c r="D481" s="12" t="s">
        <v>26</v>
      </c>
      <c r="E481" s="20">
        <f>E484+E482</f>
        <v>1000000</v>
      </c>
      <c r="F481" s="20">
        <f>F484+F482</f>
        <v>950000</v>
      </c>
      <c r="G481" s="20">
        <f>G484+G482</f>
        <v>0</v>
      </c>
      <c r="H481" s="20">
        <f t="shared" si="83"/>
        <v>950000</v>
      </c>
      <c r="I481" s="20">
        <f t="shared" si="93"/>
        <v>0</v>
      </c>
      <c r="J481" s="20">
        <f t="shared" si="94"/>
        <v>0</v>
      </c>
      <c r="L481" s="11"/>
    </row>
    <row r="482" spans="1:12" s="6" customFormat="1" ht="62.4" x14ac:dyDescent="0.25">
      <c r="A482" s="25" t="s">
        <v>483</v>
      </c>
      <c r="B482" s="12" t="s">
        <v>107</v>
      </c>
      <c r="C482" s="26" t="s">
        <v>484</v>
      </c>
      <c r="D482" s="12" t="s">
        <v>26</v>
      </c>
      <c r="E482" s="20">
        <f>E483</f>
        <v>500000</v>
      </c>
      <c r="F482" s="20">
        <f>F483</f>
        <v>450000</v>
      </c>
      <c r="G482" s="20">
        <f>G483</f>
        <v>0</v>
      </c>
      <c r="H482" s="20">
        <f t="shared" si="83"/>
        <v>450000</v>
      </c>
      <c r="I482" s="20">
        <f t="shared" si="93"/>
        <v>0</v>
      </c>
      <c r="J482" s="20">
        <f t="shared" si="94"/>
        <v>0</v>
      </c>
      <c r="L482" s="11"/>
    </row>
    <row r="483" spans="1:12" s="6" customFormat="1" ht="31.2" x14ac:dyDescent="0.25">
      <c r="A483" s="15" t="s">
        <v>117</v>
      </c>
      <c r="B483" s="12" t="s">
        <v>107</v>
      </c>
      <c r="C483" s="26" t="s">
        <v>484</v>
      </c>
      <c r="D483" s="12" t="s">
        <v>118</v>
      </c>
      <c r="E483" s="20">
        <v>500000</v>
      </c>
      <c r="F483" s="20">
        <v>450000</v>
      </c>
      <c r="G483" s="20">
        <v>0</v>
      </c>
      <c r="H483" s="20">
        <f t="shared" si="83"/>
        <v>450000</v>
      </c>
      <c r="I483" s="20">
        <f t="shared" si="93"/>
        <v>0</v>
      </c>
      <c r="J483" s="20">
        <f t="shared" si="94"/>
        <v>0</v>
      </c>
      <c r="L483" s="11"/>
    </row>
    <row r="484" spans="1:12" s="6" customFormat="1" ht="46.8" x14ac:dyDescent="0.25">
      <c r="A484" s="80" t="s">
        <v>482</v>
      </c>
      <c r="B484" s="12" t="s">
        <v>107</v>
      </c>
      <c r="C484" s="26" t="s">
        <v>479</v>
      </c>
      <c r="D484" s="12" t="s">
        <v>26</v>
      </c>
      <c r="E484" s="20">
        <f>E485</f>
        <v>500000</v>
      </c>
      <c r="F484" s="20">
        <f>F485</f>
        <v>500000</v>
      </c>
      <c r="G484" s="20">
        <f>G485</f>
        <v>0</v>
      </c>
      <c r="H484" s="20">
        <f t="shared" si="83"/>
        <v>500000</v>
      </c>
      <c r="I484" s="20">
        <f t="shared" si="93"/>
        <v>0</v>
      </c>
      <c r="J484" s="20">
        <f t="shared" si="94"/>
        <v>0</v>
      </c>
      <c r="L484" s="11"/>
    </row>
    <row r="485" spans="1:12" s="6" customFormat="1" ht="31.2" outlineLevel="5" x14ac:dyDescent="0.25">
      <c r="A485" s="15" t="s">
        <v>117</v>
      </c>
      <c r="B485" s="12" t="s">
        <v>107</v>
      </c>
      <c r="C485" s="26" t="s">
        <v>479</v>
      </c>
      <c r="D485" s="12" t="s">
        <v>118</v>
      </c>
      <c r="E485" s="20">
        <v>500000</v>
      </c>
      <c r="F485" s="20">
        <v>500000</v>
      </c>
      <c r="G485" s="20">
        <v>0</v>
      </c>
      <c r="H485" s="20">
        <f t="shared" si="83"/>
        <v>500000</v>
      </c>
      <c r="I485" s="20">
        <f t="shared" si="93"/>
        <v>0</v>
      </c>
      <c r="J485" s="20">
        <f t="shared" si="94"/>
        <v>0</v>
      </c>
      <c r="L485" s="11"/>
    </row>
    <row r="486" spans="1:12" s="6" customFormat="1" ht="46.8" outlineLevel="5" x14ac:dyDescent="0.25">
      <c r="A486" s="25" t="s">
        <v>514</v>
      </c>
      <c r="B486" s="12" t="s">
        <v>107</v>
      </c>
      <c r="C486" s="53" t="s">
        <v>513</v>
      </c>
      <c r="D486" s="12" t="s">
        <v>26</v>
      </c>
      <c r="E486" s="20">
        <f t="shared" ref="E486:G487" si="95">E487</f>
        <v>0</v>
      </c>
      <c r="F486" s="20">
        <f t="shared" si="95"/>
        <v>50000</v>
      </c>
      <c r="G486" s="20">
        <f t="shared" si="95"/>
        <v>0</v>
      </c>
      <c r="H486" s="20">
        <f t="shared" si="83"/>
        <v>50000</v>
      </c>
      <c r="I486" s="20" t="s">
        <v>559</v>
      </c>
      <c r="J486" s="20">
        <f t="shared" si="94"/>
        <v>0</v>
      </c>
      <c r="L486" s="11"/>
    </row>
    <row r="487" spans="1:12" s="6" customFormat="1" ht="31.2" outlineLevel="5" x14ac:dyDescent="0.25">
      <c r="A487" s="25" t="s">
        <v>516</v>
      </c>
      <c r="B487" s="12" t="s">
        <v>107</v>
      </c>
      <c r="C487" s="53" t="s">
        <v>515</v>
      </c>
      <c r="D487" s="12" t="s">
        <v>26</v>
      </c>
      <c r="E487" s="20">
        <f t="shared" si="95"/>
        <v>0</v>
      </c>
      <c r="F487" s="20">
        <f t="shared" si="95"/>
        <v>50000</v>
      </c>
      <c r="G487" s="20">
        <f t="shared" si="95"/>
        <v>0</v>
      </c>
      <c r="H487" s="20">
        <f t="shared" si="83"/>
        <v>50000</v>
      </c>
      <c r="I487" s="20" t="s">
        <v>559</v>
      </c>
      <c r="J487" s="20">
        <f t="shared" si="94"/>
        <v>0</v>
      </c>
      <c r="L487" s="11"/>
    </row>
    <row r="488" spans="1:12" s="6" customFormat="1" ht="31.2" x14ac:dyDescent="0.25">
      <c r="A488" s="15" t="s">
        <v>117</v>
      </c>
      <c r="B488" s="12" t="s">
        <v>107</v>
      </c>
      <c r="C488" s="26" t="s">
        <v>515</v>
      </c>
      <c r="D488" s="12" t="s">
        <v>118</v>
      </c>
      <c r="E488" s="20">
        <v>0</v>
      </c>
      <c r="F488" s="20">
        <v>50000</v>
      </c>
      <c r="G488" s="20">
        <v>0</v>
      </c>
      <c r="H488" s="20">
        <f t="shared" si="83"/>
        <v>50000</v>
      </c>
      <c r="I488" s="20" t="s">
        <v>559</v>
      </c>
      <c r="J488" s="20">
        <f t="shared" si="94"/>
        <v>0</v>
      </c>
      <c r="L488" s="11"/>
    </row>
    <row r="489" spans="1:12" s="6" customFormat="1" ht="78" x14ac:dyDescent="0.25">
      <c r="A489" s="1" t="s">
        <v>383</v>
      </c>
      <c r="B489" s="12" t="s">
        <v>107</v>
      </c>
      <c r="C489" s="12" t="s">
        <v>167</v>
      </c>
      <c r="D489" s="12" t="s">
        <v>26</v>
      </c>
      <c r="E489" s="13">
        <f t="shared" ref="E489:G490" si="96">E490</f>
        <v>1244978.1599999999</v>
      </c>
      <c r="F489" s="13">
        <f t="shared" si="96"/>
        <v>2032695.07</v>
      </c>
      <c r="G489" s="13">
        <f t="shared" si="96"/>
        <v>863814.43</v>
      </c>
      <c r="H489" s="13">
        <f t="shared" si="83"/>
        <v>1168880.6399999999</v>
      </c>
      <c r="I489" s="13">
        <f t="shared" ref="I489:I523" si="97">$G489/$E489*100</f>
        <v>69.38</v>
      </c>
      <c r="J489" s="13">
        <f t="shared" si="94"/>
        <v>42.5</v>
      </c>
      <c r="L489" s="11"/>
    </row>
    <row r="490" spans="1:12" s="6" customFormat="1" ht="78" x14ac:dyDescent="0.25">
      <c r="A490" s="1" t="s">
        <v>199</v>
      </c>
      <c r="B490" s="12" t="s">
        <v>107</v>
      </c>
      <c r="C490" s="12" t="s">
        <v>201</v>
      </c>
      <c r="D490" s="12" t="s">
        <v>26</v>
      </c>
      <c r="E490" s="13">
        <f t="shared" si="96"/>
        <v>1244978.1599999999</v>
      </c>
      <c r="F490" s="13">
        <f t="shared" si="96"/>
        <v>2032695.07</v>
      </c>
      <c r="G490" s="13">
        <f t="shared" si="96"/>
        <v>863814.43</v>
      </c>
      <c r="H490" s="13">
        <f t="shared" si="83"/>
        <v>1168880.6399999999</v>
      </c>
      <c r="I490" s="13">
        <f t="shared" si="97"/>
        <v>69.38</v>
      </c>
      <c r="J490" s="13">
        <f t="shared" si="94"/>
        <v>42.5</v>
      </c>
      <c r="L490" s="11"/>
    </row>
    <row r="491" spans="1:12" s="6" customFormat="1" ht="109.2" x14ac:dyDescent="0.25">
      <c r="A491" s="1" t="s">
        <v>554</v>
      </c>
      <c r="B491" s="12" t="s">
        <v>107</v>
      </c>
      <c r="C491" s="26" t="s">
        <v>528</v>
      </c>
      <c r="D491" s="12" t="s">
        <v>26</v>
      </c>
      <c r="E491" s="91">
        <f>E492+E493</f>
        <v>1244978.1599999999</v>
      </c>
      <c r="F491" s="91">
        <f>F492+F493</f>
        <v>2032695.07</v>
      </c>
      <c r="G491" s="91">
        <f>G492+G493</f>
        <v>863814.43</v>
      </c>
      <c r="H491" s="91">
        <f t="shared" si="83"/>
        <v>1168880.6399999999</v>
      </c>
      <c r="I491" s="91">
        <f t="shared" si="97"/>
        <v>69.38</v>
      </c>
      <c r="J491" s="91">
        <f t="shared" si="94"/>
        <v>42.5</v>
      </c>
      <c r="L491" s="11"/>
    </row>
    <row r="492" spans="1:12" s="6" customFormat="1" ht="31.2" x14ac:dyDescent="0.25">
      <c r="A492" s="2" t="s">
        <v>119</v>
      </c>
      <c r="B492" s="12" t="s">
        <v>107</v>
      </c>
      <c r="C492" s="26" t="s">
        <v>528</v>
      </c>
      <c r="D492" s="12" t="s">
        <v>120</v>
      </c>
      <c r="E492" s="20">
        <v>972261.15</v>
      </c>
      <c r="F492" s="20">
        <v>972261.15</v>
      </c>
      <c r="G492" s="20">
        <v>644544.43999999994</v>
      </c>
      <c r="H492" s="20">
        <f t="shared" si="83"/>
        <v>327716.71000000002</v>
      </c>
      <c r="I492" s="20">
        <f t="shared" si="97"/>
        <v>66.290000000000006</v>
      </c>
      <c r="J492" s="20">
        <f t="shared" si="94"/>
        <v>66.290000000000006</v>
      </c>
      <c r="L492" s="11"/>
    </row>
    <row r="493" spans="1:12" s="6" customFormat="1" ht="31.2" x14ac:dyDescent="0.25">
      <c r="A493" s="15" t="s">
        <v>117</v>
      </c>
      <c r="B493" s="12" t="s">
        <v>107</v>
      </c>
      <c r="C493" s="26" t="s">
        <v>528</v>
      </c>
      <c r="D493" s="12" t="s">
        <v>118</v>
      </c>
      <c r="E493" s="20">
        <v>272717.01</v>
      </c>
      <c r="F493" s="20">
        <f>1121184.21-60750.29</f>
        <v>1060433.9199999999</v>
      </c>
      <c r="G493" s="20">
        <v>219269.99</v>
      </c>
      <c r="H493" s="20">
        <f t="shared" si="83"/>
        <v>841163.93</v>
      </c>
      <c r="I493" s="20">
        <f t="shared" si="97"/>
        <v>80.400000000000006</v>
      </c>
      <c r="J493" s="20">
        <f t="shared" si="94"/>
        <v>20.68</v>
      </c>
      <c r="L493" s="11"/>
    </row>
    <row r="494" spans="1:12" s="6" customFormat="1" ht="15.6" x14ac:dyDescent="0.25">
      <c r="A494" s="88" t="s">
        <v>42</v>
      </c>
      <c r="B494" s="9" t="s">
        <v>51</v>
      </c>
      <c r="C494" s="9" t="s">
        <v>146</v>
      </c>
      <c r="D494" s="9" t="s">
        <v>26</v>
      </c>
      <c r="E494" s="16">
        <f t="shared" ref="E494:G497" si="98">E495</f>
        <v>18300299.199999999</v>
      </c>
      <c r="F494" s="16">
        <f t="shared" si="98"/>
        <v>17944906.280000001</v>
      </c>
      <c r="G494" s="16">
        <f t="shared" si="98"/>
        <v>10736048.050000001</v>
      </c>
      <c r="H494" s="16">
        <f t="shared" si="83"/>
        <v>7208858.2300000004</v>
      </c>
      <c r="I494" s="16">
        <f t="shared" si="97"/>
        <v>58.67</v>
      </c>
      <c r="J494" s="16">
        <f t="shared" si="94"/>
        <v>59.83</v>
      </c>
      <c r="L494" s="11"/>
    </row>
    <row r="495" spans="1:12" s="6" customFormat="1" ht="15.6" x14ac:dyDescent="0.25">
      <c r="A495" s="2" t="s">
        <v>197</v>
      </c>
      <c r="B495" s="28" t="s">
        <v>198</v>
      </c>
      <c r="C495" s="28" t="s">
        <v>146</v>
      </c>
      <c r="D495" s="28" t="s">
        <v>26</v>
      </c>
      <c r="E495" s="13">
        <f t="shared" si="98"/>
        <v>18300299.199999999</v>
      </c>
      <c r="F495" s="13">
        <f t="shared" si="98"/>
        <v>17944906.280000001</v>
      </c>
      <c r="G495" s="13">
        <f t="shared" si="98"/>
        <v>10736048.050000001</v>
      </c>
      <c r="H495" s="13">
        <f t="shared" si="83"/>
        <v>7208858.2300000004</v>
      </c>
      <c r="I495" s="13">
        <f t="shared" si="97"/>
        <v>58.67</v>
      </c>
      <c r="J495" s="13">
        <f t="shared" si="94"/>
        <v>59.83</v>
      </c>
      <c r="L495" s="11"/>
    </row>
    <row r="496" spans="1:12" s="6" customFormat="1" ht="46.8" x14ac:dyDescent="0.25">
      <c r="A496" s="14" t="s">
        <v>384</v>
      </c>
      <c r="B496" s="12" t="s">
        <v>198</v>
      </c>
      <c r="C496" s="12" t="s">
        <v>8</v>
      </c>
      <c r="D496" s="12" t="s">
        <v>26</v>
      </c>
      <c r="E496" s="13">
        <f t="shared" si="98"/>
        <v>18300299.199999999</v>
      </c>
      <c r="F496" s="13">
        <f t="shared" si="98"/>
        <v>17944906.280000001</v>
      </c>
      <c r="G496" s="13">
        <f t="shared" si="98"/>
        <v>10736048.050000001</v>
      </c>
      <c r="H496" s="13">
        <f t="shared" si="83"/>
        <v>7208858.2300000004</v>
      </c>
      <c r="I496" s="13">
        <f t="shared" si="97"/>
        <v>58.67</v>
      </c>
      <c r="J496" s="13">
        <f t="shared" si="94"/>
        <v>59.83</v>
      </c>
      <c r="L496" s="11"/>
    </row>
    <row r="497" spans="1:12" s="6" customFormat="1" ht="46.8" x14ac:dyDescent="0.25">
      <c r="A497" s="14" t="s">
        <v>385</v>
      </c>
      <c r="B497" s="12" t="s">
        <v>198</v>
      </c>
      <c r="C497" s="12" t="s">
        <v>9</v>
      </c>
      <c r="D497" s="12" t="s">
        <v>26</v>
      </c>
      <c r="E497" s="13">
        <f t="shared" si="98"/>
        <v>18300299.199999999</v>
      </c>
      <c r="F497" s="13">
        <f t="shared" si="98"/>
        <v>17944906.280000001</v>
      </c>
      <c r="G497" s="13">
        <f t="shared" si="98"/>
        <v>10736048.050000001</v>
      </c>
      <c r="H497" s="13">
        <f t="shared" si="83"/>
        <v>7208858.2300000004</v>
      </c>
      <c r="I497" s="13">
        <f t="shared" si="97"/>
        <v>58.67</v>
      </c>
      <c r="J497" s="13">
        <f t="shared" si="94"/>
        <v>59.83</v>
      </c>
      <c r="L497" s="11"/>
    </row>
    <row r="498" spans="1:12" s="6" customFormat="1" ht="46.8" x14ac:dyDescent="0.25">
      <c r="A498" s="14" t="s">
        <v>385</v>
      </c>
      <c r="B498" s="28" t="s">
        <v>198</v>
      </c>
      <c r="C498" s="12" t="s">
        <v>389</v>
      </c>
      <c r="D498" s="12" t="s">
        <v>26</v>
      </c>
      <c r="E498" s="13">
        <f>E501+E499+E503+E505+E507</f>
        <v>18300299.199999999</v>
      </c>
      <c r="F498" s="13">
        <f>F501+F499+F503+F505+F507</f>
        <v>17944906.280000001</v>
      </c>
      <c r="G498" s="13">
        <f>G501+G499+G503+G505+G507</f>
        <v>10736048.050000001</v>
      </c>
      <c r="H498" s="13">
        <f t="shared" si="83"/>
        <v>7208858.2300000004</v>
      </c>
      <c r="I498" s="13">
        <f t="shared" si="97"/>
        <v>58.67</v>
      </c>
      <c r="J498" s="13">
        <f t="shared" si="94"/>
        <v>59.83</v>
      </c>
      <c r="L498" s="11"/>
    </row>
    <row r="499" spans="1:12" s="6" customFormat="1" ht="93.6" x14ac:dyDescent="0.25">
      <c r="A499" s="12" t="s">
        <v>109</v>
      </c>
      <c r="B499" s="28" t="s">
        <v>198</v>
      </c>
      <c r="C499" s="28" t="s">
        <v>388</v>
      </c>
      <c r="D499" s="28" t="s">
        <v>26</v>
      </c>
      <c r="E499" s="20">
        <f>E500</f>
        <v>2690000</v>
      </c>
      <c r="F499" s="20">
        <f>F500</f>
        <v>2690000</v>
      </c>
      <c r="G499" s="20">
        <f>G500</f>
        <v>1462349.4</v>
      </c>
      <c r="H499" s="20">
        <f t="shared" si="83"/>
        <v>1227650.6000000001</v>
      </c>
      <c r="I499" s="20">
        <f t="shared" si="97"/>
        <v>54.36</v>
      </c>
      <c r="J499" s="20">
        <f t="shared" si="94"/>
        <v>54.36</v>
      </c>
      <c r="L499" s="11"/>
    </row>
    <row r="500" spans="1:12" s="6" customFormat="1" ht="31.2" x14ac:dyDescent="0.25">
      <c r="A500" s="15" t="s">
        <v>117</v>
      </c>
      <c r="B500" s="28" t="s">
        <v>198</v>
      </c>
      <c r="C500" s="28" t="s">
        <v>388</v>
      </c>
      <c r="D500" s="28" t="s">
        <v>118</v>
      </c>
      <c r="E500" s="20">
        <v>2690000</v>
      </c>
      <c r="F500" s="20">
        <v>2690000</v>
      </c>
      <c r="G500" s="20">
        <v>1462349.4</v>
      </c>
      <c r="H500" s="20">
        <f t="shared" si="83"/>
        <v>1227650.6000000001</v>
      </c>
      <c r="I500" s="20">
        <f t="shared" si="97"/>
        <v>54.36</v>
      </c>
      <c r="J500" s="20">
        <f t="shared" si="94"/>
        <v>54.36</v>
      </c>
      <c r="L500" s="11"/>
    </row>
    <row r="501" spans="1:12" s="17" customFormat="1" ht="46.8" x14ac:dyDescent="0.3">
      <c r="A501" s="12" t="s">
        <v>110</v>
      </c>
      <c r="B501" s="28" t="s">
        <v>198</v>
      </c>
      <c r="C501" s="28" t="s">
        <v>387</v>
      </c>
      <c r="D501" s="28" t="s">
        <v>26</v>
      </c>
      <c r="E501" s="20">
        <f>E502</f>
        <v>1759968</v>
      </c>
      <c r="F501" s="20">
        <f>F502</f>
        <v>1759968</v>
      </c>
      <c r="G501" s="20">
        <f>G502</f>
        <v>832444</v>
      </c>
      <c r="H501" s="20">
        <f t="shared" si="83"/>
        <v>927524</v>
      </c>
      <c r="I501" s="20">
        <f t="shared" si="97"/>
        <v>47.3</v>
      </c>
      <c r="J501" s="20">
        <f t="shared" si="94"/>
        <v>47.3</v>
      </c>
      <c r="L501" s="11"/>
    </row>
    <row r="502" spans="1:12" s="17" customFormat="1" ht="31.2" x14ac:dyDescent="0.3">
      <c r="A502" s="2" t="s">
        <v>117</v>
      </c>
      <c r="B502" s="28" t="s">
        <v>198</v>
      </c>
      <c r="C502" s="28" t="s">
        <v>387</v>
      </c>
      <c r="D502" s="28" t="s">
        <v>118</v>
      </c>
      <c r="E502" s="20">
        <v>1759968</v>
      </c>
      <c r="F502" s="20">
        <v>1759968</v>
      </c>
      <c r="G502" s="20">
        <v>832444</v>
      </c>
      <c r="H502" s="20">
        <f t="shared" si="83"/>
        <v>927524</v>
      </c>
      <c r="I502" s="20">
        <f t="shared" si="97"/>
        <v>47.3</v>
      </c>
      <c r="J502" s="20">
        <f t="shared" si="94"/>
        <v>47.3</v>
      </c>
      <c r="L502" s="11"/>
    </row>
    <row r="503" spans="1:12" s="6" customFormat="1" ht="46.8" x14ac:dyDescent="0.25">
      <c r="A503" s="2" t="s">
        <v>143</v>
      </c>
      <c r="B503" s="28" t="s">
        <v>198</v>
      </c>
      <c r="C503" s="28" t="s">
        <v>390</v>
      </c>
      <c r="D503" s="28" t="s">
        <v>26</v>
      </c>
      <c r="E503" s="20">
        <f>E504</f>
        <v>13494938.279999999</v>
      </c>
      <c r="F503" s="20">
        <f>F504</f>
        <v>13494938.279999999</v>
      </c>
      <c r="G503" s="20">
        <f>G504</f>
        <v>8441254.6500000004</v>
      </c>
      <c r="H503" s="20">
        <f t="shared" si="83"/>
        <v>5053683.63</v>
      </c>
      <c r="I503" s="20">
        <f t="shared" si="97"/>
        <v>62.55</v>
      </c>
      <c r="J503" s="20">
        <f t="shared" si="94"/>
        <v>62.55</v>
      </c>
      <c r="L503" s="11"/>
    </row>
    <row r="504" spans="1:12" s="6" customFormat="1" ht="15.6" x14ac:dyDescent="0.25">
      <c r="A504" s="2" t="s">
        <v>144</v>
      </c>
      <c r="B504" s="28" t="s">
        <v>198</v>
      </c>
      <c r="C504" s="28" t="s">
        <v>390</v>
      </c>
      <c r="D504" s="28" t="s">
        <v>145</v>
      </c>
      <c r="E504" s="20">
        <v>13494938.279999999</v>
      </c>
      <c r="F504" s="20">
        <v>13494938.279999999</v>
      </c>
      <c r="G504" s="20">
        <v>8441254.6500000004</v>
      </c>
      <c r="H504" s="20">
        <f t="shared" si="83"/>
        <v>5053683.63</v>
      </c>
      <c r="I504" s="20">
        <f t="shared" si="97"/>
        <v>62.55</v>
      </c>
      <c r="J504" s="20">
        <f t="shared" si="94"/>
        <v>62.55</v>
      </c>
      <c r="L504" s="11"/>
    </row>
    <row r="505" spans="1:12" s="6" customFormat="1" ht="46.8" x14ac:dyDescent="0.25">
      <c r="A505" s="1" t="s">
        <v>239</v>
      </c>
      <c r="B505" s="28" t="s">
        <v>198</v>
      </c>
      <c r="C505" s="37" t="s">
        <v>386</v>
      </c>
      <c r="D505" s="28" t="s">
        <v>26</v>
      </c>
      <c r="E505" s="13">
        <f>E506</f>
        <v>337623.27</v>
      </c>
      <c r="F505" s="13">
        <f>F506</f>
        <v>0</v>
      </c>
      <c r="G505" s="13">
        <f>G506</f>
        <v>0</v>
      </c>
      <c r="H505" s="13">
        <f t="shared" si="83"/>
        <v>0</v>
      </c>
      <c r="I505" s="13">
        <f t="shared" si="97"/>
        <v>0</v>
      </c>
      <c r="J505" s="13" t="s">
        <v>559</v>
      </c>
      <c r="L505" s="11"/>
    </row>
    <row r="506" spans="1:12" s="6" customFormat="1" ht="31.2" x14ac:dyDescent="0.25">
      <c r="A506" s="15" t="s">
        <v>117</v>
      </c>
      <c r="B506" s="28" t="s">
        <v>198</v>
      </c>
      <c r="C506" s="37" t="s">
        <v>386</v>
      </c>
      <c r="D506" s="28" t="s">
        <v>118</v>
      </c>
      <c r="E506" s="90">
        <f>337623.27</f>
        <v>337623.27</v>
      </c>
      <c r="F506" s="90">
        <f>337623.27-337623.27</f>
        <v>0</v>
      </c>
      <c r="G506" s="90">
        <f>337623.27-337623.27</f>
        <v>0</v>
      </c>
      <c r="H506" s="90">
        <f t="shared" si="83"/>
        <v>0</v>
      </c>
      <c r="I506" s="90">
        <f t="shared" si="97"/>
        <v>0</v>
      </c>
      <c r="J506" s="90" t="s">
        <v>559</v>
      </c>
      <c r="L506" s="11"/>
    </row>
    <row r="507" spans="1:12" s="6" customFormat="1" ht="46.8" x14ac:dyDescent="0.25">
      <c r="A507" s="1" t="s">
        <v>254</v>
      </c>
      <c r="B507" s="28" t="s">
        <v>198</v>
      </c>
      <c r="C507" s="37" t="s">
        <v>386</v>
      </c>
      <c r="D507" s="28" t="s">
        <v>26</v>
      </c>
      <c r="E507" s="13">
        <f>E508</f>
        <v>17769.650000000001</v>
      </c>
      <c r="F507" s="13">
        <f>F508</f>
        <v>0</v>
      </c>
      <c r="G507" s="13">
        <f>G508</f>
        <v>0</v>
      </c>
      <c r="H507" s="13">
        <f t="shared" si="83"/>
        <v>0</v>
      </c>
      <c r="I507" s="13">
        <f t="shared" si="97"/>
        <v>0</v>
      </c>
      <c r="J507" s="13" t="s">
        <v>559</v>
      </c>
      <c r="L507" s="11"/>
    </row>
    <row r="508" spans="1:12" s="6" customFormat="1" ht="31.2" x14ac:dyDescent="0.25">
      <c r="A508" s="15" t="s">
        <v>117</v>
      </c>
      <c r="B508" s="28" t="s">
        <v>198</v>
      </c>
      <c r="C508" s="37" t="s">
        <v>386</v>
      </c>
      <c r="D508" s="28" t="s">
        <v>118</v>
      </c>
      <c r="E508" s="13">
        <f>17769.65</f>
        <v>17769.650000000001</v>
      </c>
      <c r="F508" s="13">
        <f>17769.65-17769.65</f>
        <v>0</v>
      </c>
      <c r="G508" s="13">
        <f>17769.65-17769.65</f>
        <v>0</v>
      </c>
      <c r="H508" s="13">
        <f t="shared" si="83"/>
        <v>0</v>
      </c>
      <c r="I508" s="13">
        <f t="shared" si="97"/>
        <v>0</v>
      </c>
      <c r="J508" s="13" t="s">
        <v>559</v>
      </c>
      <c r="L508" s="11"/>
    </row>
    <row r="509" spans="1:12" s="6" customFormat="1" ht="15.6" x14ac:dyDescent="0.25">
      <c r="A509" s="8" t="s">
        <v>72</v>
      </c>
      <c r="B509" s="9" t="s">
        <v>73</v>
      </c>
      <c r="C509" s="8" t="s">
        <v>146</v>
      </c>
      <c r="D509" s="9" t="s">
        <v>26</v>
      </c>
      <c r="E509" s="33">
        <f t="shared" ref="E509:G511" si="99">E510</f>
        <v>4700000</v>
      </c>
      <c r="F509" s="33">
        <f t="shared" si="99"/>
        <v>6369146.71</v>
      </c>
      <c r="G509" s="33">
        <f t="shared" si="99"/>
        <v>6369146.6100000003</v>
      </c>
      <c r="H509" s="33">
        <f t="shared" ref="H509:H523" si="100">$F509-$G509</f>
        <v>0.1</v>
      </c>
      <c r="I509" s="33">
        <f t="shared" si="97"/>
        <v>135.51</v>
      </c>
      <c r="J509" s="33">
        <f t="shared" ref="J509:J523" si="101">$G509/$F509*100</f>
        <v>100</v>
      </c>
      <c r="L509" s="11"/>
    </row>
    <row r="510" spans="1:12" s="6" customFormat="1" ht="15.6" x14ac:dyDescent="0.25">
      <c r="A510" s="2" t="s">
        <v>74</v>
      </c>
      <c r="B510" s="12" t="s">
        <v>75</v>
      </c>
      <c r="C510" s="2" t="s">
        <v>146</v>
      </c>
      <c r="D510" s="12" t="s">
        <v>26</v>
      </c>
      <c r="E510" s="20">
        <f t="shared" si="99"/>
        <v>4700000</v>
      </c>
      <c r="F510" s="20">
        <f t="shared" si="99"/>
        <v>6369146.71</v>
      </c>
      <c r="G510" s="20">
        <f t="shared" si="99"/>
        <v>6369146.6100000003</v>
      </c>
      <c r="H510" s="20">
        <f t="shared" si="100"/>
        <v>0.1</v>
      </c>
      <c r="I510" s="20">
        <f t="shared" si="97"/>
        <v>135.51</v>
      </c>
      <c r="J510" s="20">
        <f t="shared" si="101"/>
        <v>100</v>
      </c>
      <c r="L510" s="11"/>
    </row>
    <row r="511" spans="1:12" s="6" customFormat="1" ht="46.8" x14ac:dyDescent="0.25">
      <c r="A511" s="14" t="s">
        <v>391</v>
      </c>
      <c r="B511" s="12" t="s">
        <v>75</v>
      </c>
      <c r="C511" s="2" t="s">
        <v>153</v>
      </c>
      <c r="D511" s="12" t="s">
        <v>26</v>
      </c>
      <c r="E511" s="20">
        <f t="shared" si="99"/>
        <v>4700000</v>
      </c>
      <c r="F511" s="20">
        <f t="shared" si="99"/>
        <v>6369146.71</v>
      </c>
      <c r="G511" s="20">
        <f t="shared" si="99"/>
        <v>6369146.6100000003</v>
      </c>
      <c r="H511" s="20">
        <f t="shared" si="100"/>
        <v>0.1</v>
      </c>
      <c r="I511" s="20">
        <f t="shared" si="97"/>
        <v>135.51</v>
      </c>
      <c r="J511" s="20">
        <f t="shared" si="101"/>
        <v>100</v>
      </c>
      <c r="L511" s="11"/>
    </row>
    <row r="512" spans="1:12" s="6" customFormat="1" ht="15.6" x14ac:dyDescent="0.25">
      <c r="A512" s="24" t="s">
        <v>392</v>
      </c>
      <c r="B512" s="12" t="s">
        <v>75</v>
      </c>
      <c r="C512" s="2" t="s">
        <v>155</v>
      </c>
      <c r="D512" s="12" t="s">
        <v>26</v>
      </c>
      <c r="E512" s="20">
        <f t="shared" ref="E512:G513" si="102">E514</f>
        <v>4700000</v>
      </c>
      <c r="F512" s="20">
        <f t="shared" si="102"/>
        <v>6369146.71</v>
      </c>
      <c r="G512" s="20">
        <f t="shared" si="102"/>
        <v>6369146.6100000003</v>
      </c>
      <c r="H512" s="20">
        <f t="shared" si="100"/>
        <v>0.1</v>
      </c>
      <c r="I512" s="20">
        <f t="shared" si="97"/>
        <v>135.51</v>
      </c>
      <c r="J512" s="20">
        <f t="shared" si="101"/>
        <v>100</v>
      </c>
      <c r="L512" s="11"/>
    </row>
    <row r="513" spans="1:12" s="6" customFormat="1" ht="31.2" x14ac:dyDescent="0.25">
      <c r="A513" s="24" t="s">
        <v>394</v>
      </c>
      <c r="B513" s="12" t="s">
        <v>75</v>
      </c>
      <c r="C513" s="2" t="s">
        <v>393</v>
      </c>
      <c r="D513" s="12" t="s">
        <v>26</v>
      </c>
      <c r="E513" s="20">
        <f t="shared" si="102"/>
        <v>4700000</v>
      </c>
      <c r="F513" s="20">
        <f t="shared" si="102"/>
        <v>6369146.71</v>
      </c>
      <c r="G513" s="20">
        <f t="shared" si="102"/>
        <v>6369146.6100000003</v>
      </c>
      <c r="H513" s="20">
        <f t="shared" si="100"/>
        <v>0.1</v>
      </c>
      <c r="I513" s="20">
        <f t="shared" si="97"/>
        <v>135.51</v>
      </c>
      <c r="J513" s="20">
        <f t="shared" si="101"/>
        <v>100</v>
      </c>
      <c r="L513" s="11"/>
    </row>
    <row r="514" spans="1:12" s="6" customFormat="1" ht="46.8" x14ac:dyDescent="0.25">
      <c r="A514" s="2" t="s">
        <v>395</v>
      </c>
      <c r="B514" s="12" t="s">
        <v>75</v>
      </c>
      <c r="C514" s="2" t="s">
        <v>396</v>
      </c>
      <c r="D514" s="12" t="s">
        <v>26</v>
      </c>
      <c r="E514" s="20">
        <f>E515</f>
        <v>4700000</v>
      </c>
      <c r="F514" s="20">
        <f>F515</f>
        <v>6369146.71</v>
      </c>
      <c r="G514" s="20">
        <f>G515</f>
        <v>6369146.6100000003</v>
      </c>
      <c r="H514" s="20">
        <f t="shared" si="100"/>
        <v>0.1</v>
      </c>
      <c r="I514" s="20">
        <f t="shared" si="97"/>
        <v>135.51</v>
      </c>
      <c r="J514" s="20">
        <f t="shared" si="101"/>
        <v>100</v>
      </c>
      <c r="L514" s="11"/>
    </row>
    <row r="515" spans="1:12" s="6" customFormat="1" ht="15.6" x14ac:dyDescent="0.25">
      <c r="A515" s="2" t="s">
        <v>130</v>
      </c>
      <c r="B515" s="12" t="s">
        <v>75</v>
      </c>
      <c r="C515" s="2" t="s">
        <v>396</v>
      </c>
      <c r="D515" s="12" t="s">
        <v>131</v>
      </c>
      <c r="E515" s="20">
        <f>4700000</f>
        <v>4700000</v>
      </c>
      <c r="F515" s="20">
        <v>6369146.71</v>
      </c>
      <c r="G515" s="20">
        <v>6369146.6100000003</v>
      </c>
      <c r="H515" s="20">
        <f t="shared" si="100"/>
        <v>0.1</v>
      </c>
      <c r="I515" s="20">
        <f t="shared" si="97"/>
        <v>135.51</v>
      </c>
      <c r="J515" s="20">
        <f t="shared" si="101"/>
        <v>100</v>
      </c>
      <c r="L515" s="11"/>
    </row>
    <row r="516" spans="1:12" s="6" customFormat="1" ht="31.2" x14ac:dyDescent="0.25">
      <c r="A516" s="8" t="s">
        <v>28</v>
      </c>
      <c r="B516" s="46" t="s">
        <v>66</v>
      </c>
      <c r="C516" s="46" t="s">
        <v>146</v>
      </c>
      <c r="D516" s="46" t="s">
        <v>26</v>
      </c>
      <c r="E516" s="33">
        <f t="shared" ref="E516:G521" si="103">E517</f>
        <v>72000</v>
      </c>
      <c r="F516" s="33">
        <f t="shared" si="103"/>
        <v>72000</v>
      </c>
      <c r="G516" s="33">
        <f t="shared" si="103"/>
        <v>13261.79</v>
      </c>
      <c r="H516" s="33">
        <f t="shared" si="100"/>
        <v>58738.21</v>
      </c>
      <c r="I516" s="33">
        <f t="shared" si="97"/>
        <v>18.420000000000002</v>
      </c>
      <c r="J516" s="33">
        <f t="shared" si="101"/>
        <v>18.420000000000002</v>
      </c>
      <c r="L516" s="11"/>
    </row>
    <row r="517" spans="1:12" s="6" customFormat="1" ht="31.2" x14ac:dyDescent="0.25">
      <c r="A517" s="2" t="s">
        <v>67</v>
      </c>
      <c r="B517" s="12" t="s">
        <v>397</v>
      </c>
      <c r="C517" s="2" t="s">
        <v>146</v>
      </c>
      <c r="D517" s="12" t="s">
        <v>26</v>
      </c>
      <c r="E517" s="20">
        <f t="shared" si="103"/>
        <v>72000</v>
      </c>
      <c r="F517" s="20">
        <f t="shared" si="103"/>
        <v>72000</v>
      </c>
      <c r="G517" s="20">
        <f t="shared" si="103"/>
        <v>13261.79</v>
      </c>
      <c r="H517" s="20">
        <f t="shared" si="100"/>
        <v>58738.21</v>
      </c>
      <c r="I517" s="20">
        <f t="shared" si="97"/>
        <v>18.420000000000002</v>
      </c>
      <c r="J517" s="20">
        <f t="shared" si="101"/>
        <v>18.420000000000002</v>
      </c>
      <c r="L517" s="11"/>
    </row>
    <row r="518" spans="1:12" s="6" customFormat="1" ht="46.8" x14ac:dyDescent="0.25">
      <c r="A518" s="12" t="s">
        <v>350</v>
      </c>
      <c r="B518" s="12" t="s">
        <v>397</v>
      </c>
      <c r="C518" s="2" t="s">
        <v>147</v>
      </c>
      <c r="D518" s="12" t="s">
        <v>26</v>
      </c>
      <c r="E518" s="13">
        <f t="shared" si="103"/>
        <v>72000</v>
      </c>
      <c r="F518" s="13">
        <f t="shared" si="103"/>
        <v>72000</v>
      </c>
      <c r="G518" s="13">
        <f t="shared" si="103"/>
        <v>13261.79</v>
      </c>
      <c r="H518" s="13">
        <f t="shared" si="100"/>
        <v>58738.21</v>
      </c>
      <c r="I518" s="13">
        <f t="shared" si="97"/>
        <v>18.420000000000002</v>
      </c>
      <c r="J518" s="13">
        <f t="shared" si="101"/>
        <v>18.420000000000002</v>
      </c>
      <c r="L518" s="11"/>
    </row>
    <row r="519" spans="1:12" s="69" customFormat="1" ht="31.2" x14ac:dyDescent="0.25">
      <c r="A519" s="2" t="s">
        <v>348</v>
      </c>
      <c r="B519" s="12" t="s">
        <v>397</v>
      </c>
      <c r="C519" s="2" t="s">
        <v>277</v>
      </c>
      <c r="D519" s="12" t="s">
        <v>26</v>
      </c>
      <c r="E519" s="13">
        <f t="shared" si="103"/>
        <v>72000</v>
      </c>
      <c r="F519" s="13">
        <f t="shared" si="103"/>
        <v>72000</v>
      </c>
      <c r="G519" s="13">
        <f t="shared" si="103"/>
        <v>13261.79</v>
      </c>
      <c r="H519" s="13">
        <f t="shared" si="100"/>
        <v>58738.21</v>
      </c>
      <c r="I519" s="13">
        <f t="shared" si="97"/>
        <v>18.420000000000002</v>
      </c>
      <c r="J519" s="13">
        <f t="shared" si="101"/>
        <v>18.420000000000002</v>
      </c>
      <c r="L519" s="70"/>
    </row>
    <row r="520" spans="1:12" s="69" customFormat="1" ht="15.6" x14ac:dyDescent="0.25">
      <c r="A520" s="2" t="s">
        <v>349</v>
      </c>
      <c r="B520" s="12" t="s">
        <v>397</v>
      </c>
      <c r="C520" s="2" t="s">
        <v>274</v>
      </c>
      <c r="D520" s="12" t="s">
        <v>26</v>
      </c>
      <c r="E520" s="13">
        <f t="shared" si="103"/>
        <v>72000</v>
      </c>
      <c r="F520" s="13">
        <f t="shared" si="103"/>
        <v>72000</v>
      </c>
      <c r="G520" s="13">
        <f t="shared" si="103"/>
        <v>13261.79</v>
      </c>
      <c r="H520" s="13">
        <f t="shared" si="100"/>
        <v>58738.21</v>
      </c>
      <c r="I520" s="13">
        <f t="shared" si="97"/>
        <v>18.420000000000002</v>
      </c>
      <c r="J520" s="13">
        <f t="shared" si="101"/>
        <v>18.420000000000002</v>
      </c>
      <c r="L520" s="70"/>
    </row>
    <row r="521" spans="1:12" s="6" customFormat="1" ht="15.6" x14ac:dyDescent="0.25">
      <c r="A521" s="74" t="s">
        <v>39</v>
      </c>
      <c r="B521" s="12" t="s">
        <v>397</v>
      </c>
      <c r="C521" s="2" t="s">
        <v>398</v>
      </c>
      <c r="D521" s="12" t="s">
        <v>26</v>
      </c>
      <c r="E521" s="20">
        <f t="shared" si="103"/>
        <v>72000</v>
      </c>
      <c r="F521" s="20">
        <f t="shared" si="103"/>
        <v>72000</v>
      </c>
      <c r="G521" s="20">
        <f t="shared" si="103"/>
        <v>13261.79</v>
      </c>
      <c r="H521" s="20">
        <f t="shared" si="100"/>
        <v>58738.21</v>
      </c>
      <c r="I521" s="20">
        <f t="shared" si="97"/>
        <v>18.420000000000002</v>
      </c>
      <c r="J521" s="20">
        <f t="shared" si="101"/>
        <v>18.420000000000002</v>
      </c>
      <c r="L521" s="11"/>
    </row>
    <row r="522" spans="1:12" s="6" customFormat="1" ht="15.6" x14ac:dyDescent="0.25">
      <c r="A522" s="2" t="s">
        <v>113</v>
      </c>
      <c r="B522" s="12" t="s">
        <v>397</v>
      </c>
      <c r="C522" s="2" t="s">
        <v>398</v>
      </c>
      <c r="D522" s="12" t="s">
        <v>114</v>
      </c>
      <c r="E522" s="20">
        <v>72000</v>
      </c>
      <c r="F522" s="20">
        <v>72000</v>
      </c>
      <c r="G522" s="20">
        <v>13261.79</v>
      </c>
      <c r="H522" s="20">
        <f t="shared" si="100"/>
        <v>58738.21</v>
      </c>
      <c r="I522" s="20">
        <f t="shared" si="97"/>
        <v>18.420000000000002</v>
      </c>
      <c r="J522" s="20">
        <f t="shared" si="101"/>
        <v>18.420000000000002</v>
      </c>
      <c r="L522" s="11"/>
    </row>
    <row r="523" spans="1:12" s="6" customFormat="1" ht="15.6" x14ac:dyDescent="0.25">
      <c r="A523" s="8" t="s">
        <v>60</v>
      </c>
      <c r="B523" s="9"/>
      <c r="C523" s="8"/>
      <c r="D523" s="9"/>
      <c r="E523" s="16">
        <f>E6+E108+E115+E124+E175+E276+E365+E422+E428+E494+E509+E516</f>
        <v>1418604592.0899999</v>
      </c>
      <c r="F523" s="16">
        <f t="shared" ref="F523:G523" si="104">F6+F108+F115+F124+F175+F276+F365+F422+F428+F494+F509+F516</f>
        <v>1476551399.79</v>
      </c>
      <c r="G523" s="16">
        <f t="shared" si="104"/>
        <v>1005501272.34</v>
      </c>
      <c r="H523" s="16">
        <f t="shared" si="100"/>
        <v>471050127.44999999</v>
      </c>
      <c r="I523" s="16">
        <f t="shared" si="97"/>
        <v>70.88</v>
      </c>
      <c r="J523" s="16">
        <f t="shared" si="101"/>
        <v>68.099999999999994</v>
      </c>
      <c r="L523" s="11"/>
    </row>
    <row r="524" spans="1:12" s="6" customFormat="1" ht="15" x14ac:dyDescent="0.25">
      <c r="F524" s="54"/>
    </row>
    <row r="525" spans="1:12" s="6" customFormat="1" ht="15" hidden="1" x14ac:dyDescent="0.25">
      <c r="E525" s="11">
        <f>SUBTOTAL(9,E6:E523)</f>
        <v>11319897670.139999</v>
      </c>
      <c r="F525" s="11">
        <f>SUBTOTAL(9,F6:F523)</f>
        <v>11772986610.040001</v>
      </c>
      <c r="G525" s="11">
        <f>SUBTOTAL(9,G6:G523)</f>
        <v>8025136050.5200005</v>
      </c>
    </row>
    <row r="526" spans="1:12" s="6" customFormat="1" ht="15" hidden="1" x14ac:dyDescent="0.25">
      <c r="E526" s="11">
        <f>SUBTOTAL(9,E6:E524)</f>
        <v>11319897670.139999</v>
      </c>
      <c r="F526" s="11">
        <f>SUBTOTAL(9,F6:F524)</f>
        <v>11772986610.040001</v>
      </c>
      <c r="G526" s="11">
        <f>SUBTOTAL(9,G6:G524)</f>
        <v>8025136050.5200005</v>
      </c>
    </row>
    <row r="527" spans="1:12" s="6" customFormat="1" ht="15" hidden="1" x14ac:dyDescent="0.25">
      <c r="F527" s="54"/>
    </row>
    <row r="528" spans="1:12" s="6" customFormat="1" ht="15" hidden="1" x14ac:dyDescent="0.25">
      <c r="E528" s="11">
        <v>672001220</v>
      </c>
      <c r="F528" s="11"/>
      <c r="G528" s="11"/>
    </row>
    <row r="529" spans="1:7" s="6" customFormat="1" ht="15" hidden="1" x14ac:dyDescent="0.25">
      <c r="E529" s="11">
        <f>63000000</f>
        <v>63000000</v>
      </c>
      <c r="F529" s="11"/>
      <c r="G529" s="11"/>
    </row>
    <row r="530" spans="1:7" s="17" customFormat="1" ht="15.6" hidden="1" x14ac:dyDescent="0.3">
      <c r="A530" s="6"/>
      <c r="B530" s="6"/>
      <c r="C530" s="6"/>
      <c r="D530" s="6"/>
      <c r="E530" s="11">
        <v>1444735458.6199999</v>
      </c>
      <c r="F530" s="55">
        <v>1378432628.8</v>
      </c>
      <c r="G530" s="56">
        <v>1405046015.02</v>
      </c>
    </row>
    <row r="531" spans="1:7" s="17" customFormat="1" ht="15.6" x14ac:dyDescent="0.3">
      <c r="A531" s="6"/>
      <c r="B531" s="6"/>
      <c r="C531" s="6"/>
      <c r="D531" s="6"/>
      <c r="E531" s="6"/>
      <c r="F531" s="54"/>
    </row>
    <row r="532" spans="1:7" s="17" customFormat="1" ht="15.6" x14ac:dyDescent="0.3">
      <c r="A532" s="6"/>
      <c r="B532" s="6"/>
      <c r="C532" s="6"/>
      <c r="D532" s="6"/>
      <c r="E532" s="6"/>
      <c r="F532" s="54"/>
    </row>
    <row r="533" spans="1:7" s="17" customFormat="1" ht="15.6" x14ac:dyDescent="0.3">
      <c r="A533" s="6"/>
      <c r="B533" s="6"/>
      <c r="C533" s="6"/>
      <c r="D533" s="6"/>
      <c r="E533" s="6"/>
      <c r="F533" s="54"/>
    </row>
    <row r="534" spans="1:7" s="17" customFormat="1" ht="15.6" x14ac:dyDescent="0.3">
      <c r="A534" s="6"/>
      <c r="B534" s="6"/>
      <c r="C534" s="6"/>
      <c r="D534" s="6"/>
      <c r="E534" s="6"/>
      <c r="F534" s="54"/>
    </row>
    <row r="535" spans="1:7" s="17" customFormat="1" ht="18.75" customHeight="1" x14ac:dyDescent="0.3">
      <c r="A535" s="6"/>
      <c r="B535" s="6"/>
      <c r="C535" s="6"/>
      <c r="D535" s="6"/>
      <c r="E535" s="6"/>
      <c r="F535" s="54"/>
    </row>
    <row r="536" spans="1:7" s="17" customFormat="1" ht="23.7" customHeight="1" x14ac:dyDescent="0.3">
      <c r="A536" s="6"/>
      <c r="B536" s="6"/>
      <c r="C536" s="6"/>
      <c r="D536" s="6"/>
      <c r="E536" s="6"/>
      <c r="F536" s="54"/>
    </row>
    <row r="537" spans="1:7" s="17" customFormat="1" ht="15" customHeight="1" x14ac:dyDescent="0.3">
      <c r="A537" s="6"/>
      <c r="B537" s="6"/>
      <c r="C537" s="6"/>
      <c r="D537" s="6"/>
      <c r="E537" s="6"/>
      <c r="F537" s="54"/>
    </row>
    <row r="538" spans="1:7" s="17" customFormat="1" ht="15.6" x14ac:dyDescent="0.3">
      <c r="A538" s="6"/>
      <c r="B538" s="6"/>
      <c r="C538" s="6"/>
      <c r="D538" s="6"/>
      <c r="E538" s="6"/>
      <c r="F538" s="54"/>
    </row>
    <row r="539" spans="1:7" s="17" customFormat="1" ht="15.9" customHeight="1" x14ac:dyDescent="0.3">
      <c r="A539" s="6"/>
      <c r="B539" s="6"/>
      <c r="C539" s="6"/>
      <c r="D539" s="6"/>
      <c r="E539" s="6"/>
      <c r="F539" s="54"/>
    </row>
    <row r="540" spans="1:7" ht="15" x14ac:dyDescent="0.25">
      <c r="A540" s="6"/>
      <c r="B540" s="6"/>
      <c r="C540" s="6"/>
      <c r="D540" s="6"/>
      <c r="E540" s="6"/>
      <c r="F540" s="54"/>
    </row>
    <row r="541" spans="1:7" ht="12.9" customHeight="1" x14ac:dyDescent="0.25">
      <c r="A541" s="6"/>
      <c r="B541" s="6"/>
      <c r="C541" s="6"/>
      <c r="D541" s="6"/>
      <c r="E541" s="6"/>
      <c r="F541" s="54"/>
    </row>
    <row r="542" spans="1:7" ht="15" x14ac:dyDescent="0.25">
      <c r="A542" s="6"/>
      <c r="B542" s="6"/>
      <c r="C542" s="6"/>
      <c r="D542" s="6"/>
      <c r="E542" s="6"/>
      <c r="F542" s="54"/>
    </row>
    <row r="543" spans="1:7" ht="15" x14ac:dyDescent="0.25">
      <c r="A543" s="6"/>
      <c r="B543" s="6"/>
      <c r="C543" s="6"/>
      <c r="D543" s="6"/>
      <c r="E543" s="6"/>
      <c r="F543" s="54"/>
    </row>
  </sheetData>
  <autoFilter ref="A5:J523">
    <sortState ref="A6:J545">
      <sortCondition ref="B5:B545"/>
    </sortState>
  </autoFilter>
  <mergeCells count="1">
    <mergeCell ref="A2:J2"/>
  </mergeCells>
  <pageMargins left="0.98425196850393704" right="0.59055118110236227" top="0.35433070866141736" bottom="0.43307086614173229" header="0.15748031496062992" footer="0.31496062992125984"/>
  <pageSetup paperSize="9" scale="63" fitToHeight="0" orientation="landscape" horizontalDpi="1200" verticalDpi="1200" r:id="rId1"/>
  <headerFooter alignWithMargins="0">
    <oddHeader>&amp;R&amp;P</oddHeader>
  </headerFooter>
  <rowBreaks count="2" manualBreakCount="2">
    <brk id="455" max="9" man="1"/>
    <brk id="50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1 чтение</vt:lpstr>
      <vt:lpstr>'ведомственная 1 чтение'!Область_печати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mitronin</dc:creator>
  <cp:lastModifiedBy>Пользователь Windows</cp:lastModifiedBy>
  <cp:lastPrinted>2024-10-29T01:51:04Z</cp:lastPrinted>
  <dcterms:created xsi:type="dcterms:W3CDTF">2002-10-08T15:02:13Z</dcterms:created>
  <dcterms:modified xsi:type="dcterms:W3CDTF">2024-10-29T04:17:12Z</dcterms:modified>
</cp:coreProperties>
</file>