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5348" yWindow="-12" windowWidth="7704" windowHeight="9660" tabRatio="599"/>
  </bookViews>
  <sheets>
    <sheet name="пограммная 1 чтение" sheetId="18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'пограммная 1 чтение'!$A$7:$F$234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'пограммная 1 чтение'!$A$1:$H$234</definedName>
  </definedNames>
  <calcPr calcId="145621" fullPrecision="0"/>
</workbook>
</file>

<file path=xl/calcChain.xml><?xml version="1.0" encoding="utf-8"?>
<calcChain xmlns="http://schemas.openxmlformats.org/spreadsheetml/2006/main">
  <c r="C233" i="18" l="1"/>
  <c r="C232" i="18"/>
  <c r="C229" i="18"/>
  <c r="C228" i="18"/>
  <c r="C226" i="18"/>
  <c r="C225" i="18"/>
  <c r="C224" i="18"/>
  <c r="C223" i="18"/>
  <c r="C222" i="18"/>
  <c r="C221" i="18"/>
  <c r="C220" i="18"/>
  <c r="C217" i="18"/>
  <c r="C216" i="18"/>
  <c r="C214" i="18"/>
  <c r="C213" i="18"/>
  <c r="C212" i="18"/>
  <c r="C211" i="18"/>
  <c r="C210" i="18"/>
  <c r="C209" i="18"/>
  <c r="C208" i="18"/>
  <c r="C199" i="18"/>
  <c r="C198" i="18"/>
  <c r="C194" i="18"/>
  <c r="C193" i="18"/>
  <c r="C192" i="18"/>
  <c r="C173" i="18"/>
  <c r="C170" i="18"/>
  <c r="C162" i="18"/>
  <c r="C160" i="18"/>
  <c r="C157" i="18"/>
  <c r="C155" i="18"/>
  <c r="C151" i="18"/>
  <c r="C146" i="18"/>
  <c r="C142" i="18"/>
  <c r="C141" i="18"/>
  <c r="C134" i="18"/>
  <c r="C133" i="18"/>
  <c r="C125" i="18"/>
  <c r="C123" i="18"/>
  <c r="C122" i="18"/>
  <c r="C120" i="18"/>
  <c r="C119" i="18"/>
  <c r="C118" i="18"/>
  <c r="C115" i="18"/>
  <c r="C114" i="18"/>
  <c r="C112" i="18"/>
  <c r="C107" i="18"/>
  <c r="C103" i="18"/>
  <c r="C98" i="18"/>
  <c r="C95" i="18"/>
  <c r="C94" i="18"/>
  <c r="C92" i="18"/>
  <c r="C89" i="18"/>
  <c r="C84" i="18"/>
  <c r="C83" i="18"/>
  <c r="C80" i="18"/>
  <c r="C79" i="18"/>
  <c r="C75" i="18"/>
  <c r="C58" i="18"/>
  <c r="C51" i="18"/>
  <c r="C45" i="18"/>
  <c r="C43" i="18"/>
  <c r="C40" i="18"/>
  <c r="C37" i="18"/>
  <c r="C36" i="18"/>
  <c r="C30" i="18"/>
  <c r="C25" i="18"/>
  <c r="C23" i="18"/>
  <c r="C20" i="18"/>
  <c r="C14" i="18"/>
  <c r="C13" i="18"/>
  <c r="D126" i="18" l="1"/>
  <c r="E126" i="18"/>
  <c r="E100" i="18" s="1"/>
  <c r="D123" i="18" l="1"/>
  <c r="D122" i="18"/>
  <c r="H233" i="18" l="1"/>
  <c r="H232" i="18"/>
  <c r="H231" i="18"/>
  <c r="H230" i="18"/>
  <c r="H229" i="18"/>
  <c r="H228" i="18"/>
  <c r="H227" i="18"/>
  <c r="H226" i="18"/>
  <c r="H225" i="18"/>
  <c r="H224" i="18"/>
  <c r="H223" i="18"/>
  <c r="H222" i="18"/>
  <c r="H221" i="18"/>
  <c r="H220" i="18"/>
  <c r="H219" i="18"/>
  <c r="H218" i="18"/>
  <c r="H217" i="18"/>
  <c r="H216" i="18"/>
  <c r="H215" i="18"/>
  <c r="H214" i="18"/>
  <c r="H213" i="18"/>
  <c r="H212" i="18"/>
  <c r="H211" i="18"/>
  <c r="H210" i="18"/>
  <c r="H209" i="18"/>
  <c r="H208" i="18"/>
  <c r="H204" i="18"/>
  <c r="H203" i="18"/>
  <c r="H202" i="18"/>
  <c r="H201" i="18"/>
  <c r="H199" i="18"/>
  <c r="H198" i="18"/>
  <c r="H197" i="18"/>
  <c r="H194" i="18"/>
  <c r="H193" i="18"/>
  <c r="H192" i="18"/>
  <c r="H191" i="18"/>
  <c r="H190" i="18"/>
  <c r="H189" i="18"/>
  <c r="H188" i="18"/>
  <c r="H187" i="18"/>
  <c r="H186" i="18"/>
  <c r="H185" i="18"/>
  <c r="H182" i="18"/>
  <c r="H181" i="18"/>
  <c r="H178" i="18"/>
  <c r="H177" i="18"/>
  <c r="H174" i="18"/>
  <c r="H173" i="18"/>
  <c r="H170" i="18"/>
  <c r="H169" i="18"/>
  <c r="H165" i="18"/>
  <c r="H164" i="18"/>
  <c r="H161" i="18"/>
  <c r="H160" i="18"/>
  <c r="H157" i="18"/>
  <c r="H156" i="18"/>
  <c r="H155" i="18"/>
  <c r="H151" i="18"/>
  <c r="H150" i="18"/>
  <c r="H149" i="18"/>
  <c r="H146" i="18"/>
  <c r="H145" i="18"/>
  <c r="H140" i="18"/>
  <c r="H139" i="18"/>
  <c r="H138" i="18"/>
  <c r="H133" i="18"/>
  <c r="H132" i="18"/>
  <c r="H128" i="18"/>
  <c r="H126" i="18"/>
  <c r="H125" i="18"/>
  <c r="H123" i="18"/>
  <c r="H122" i="18"/>
  <c r="H120" i="18"/>
  <c r="H119" i="18"/>
  <c r="H118" i="18"/>
  <c r="H117" i="18"/>
  <c r="H114" i="18"/>
  <c r="H113" i="18"/>
  <c r="H109" i="18"/>
  <c r="H108" i="18"/>
  <c r="H107" i="18"/>
  <c r="H104" i="18"/>
  <c r="H103" i="18"/>
  <c r="H102" i="18"/>
  <c r="H101" i="18"/>
  <c r="H98" i="18"/>
  <c r="H95" i="18"/>
  <c r="H94" i="18"/>
  <c r="H92" i="18"/>
  <c r="H89" i="18"/>
  <c r="H88" i="18"/>
  <c r="H87" i="18"/>
  <c r="H86" i="18"/>
  <c r="H84" i="18"/>
  <c r="H83" i="18"/>
  <c r="H80" i="18"/>
  <c r="H79" i="18"/>
  <c r="H75" i="18"/>
  <c r="H73" i="18"/>
  <c r="H72" i="18"/>
  <c r="H70" i="18"/>
  <c r="H69" i="18"/>
  <c r="H66" i="18"/>
  <c r="H65" i="18"/>
  <c r="H64" i="18"/>
  <c r="H60" i="18"/>
  <c r="H59" i="18"/>
  <c r="H58" i="18"/>
  <c r="H55" i="18"/>
  <c r="H54" i="18"/>
  <c r="H53" i="18"/>
  <c r="H51" i="18"/>
  <c r="H48" i="18"/>
  <c r="H46" i="18"/>
  <c r="H45" i="18"/>
  <c r="H43" i="18"/>
  <c r="H35" i="18"/>
  <c r="H34" i="18"/>
  <c r="H33" i="18"/>
  <c r="H32" i="18"/>
  <c r="H30" i="18"/>
  <c r="H29" i="18"/>
  <c r="H28" i="18"/>
  <c r="H26" i="18"/>
  <c r="H25" i="18"/>
  <c r="H24" i="18"/>
  <c r="H23" i="18"/>
  <c r="H22" i="18"/>
  <c r="H15" i="18"/>
  <c r="H14" i="18"/>
  <c r="H13" i="18"/>
  <c r="H9" i="18"/>
  <c r="H7" i="18"/>
  <c r="G7" i="18"/>
  <c r="G233" i="18"/>
  <c r="G232" i="18"/>
  <c r="G231" i="18"/>
  <c r="G230" i="18"/>
  <c r="G229" i="18"/>
  <c r="G228" i="18"/>
  <c r="G227" i="18"/>
  <c r="G226" i="18"/>
  <c r="G225" i="18"/>
  <c r="G224" i="18"/>
  <c r="G223" i="18"/>
  <c r="G222" i="18"/>
  <c r="G221" i="18"/>
  <c r="G220" i="18"/>
  <c r="G219" i="18"/>
  <c r="G218" i="18"/>
  <c r="G217" i="18"/>
  <c r="G216" i="18"/>
  <c r="G215" i="18"/>
  <c r="G214" i="18"/>
  <c r="G213" i="18"/>
  <c r="G212" i="18"/>
  <c r="G211" i="18"/>
  <c r="G210" i="18"/>
  <c r="G209" i="18"/>
  <c r="G208" i="18"/>
  <c r="G199" i="18"/>
  <c r="G198" i="18"/>
  <c r="G194" i="18"/>
  <c r="G193" i="18"/>
  <c r="G192" i="18"/>
  <c r="G188" i="18"/>
  <c r="G186" i="18"/>
  <c r="G182" i="18"/>
  <c r="G174" i="18"/>
  <c r="G173" i="18"/>
  <c r="G170" i="18"/>
  <c r="G169" i="18"/>
  <c r="G165" i="18"/>
  <c r="G164" i="18"/>
  <c r="G162" i="18"/>
  <c r="G161" i="18"/>
  <c r="G160" i="18"/>
  <c r="G157" i="18"/>
  <c r="G156" i="18"/>
  <c r="G155" i="18"/>
  <c r="G151" i="18"/>
  <c r="G150" i="18"/>
  <c r="G149" i="18"/>
  <c r="G146" i="18"/>
  <c r="G142" i="18"/>
  <c r="G141" i="18"/>
  <c r="G140" i="18"/>
  <c r="G139" i="18"/>
  <c r="G138" i="18"/>
  <c r="G134" i="18"/>
  <c r="G133" i="18"/>
  <c r="G132" i="18"/>
  <c r="G128" i="18"/>
  <c r="G127" i="18"/>
  <c r="G126" i="18"/>
  <c r="G125" i="18"/>
  <c r="G123" i="18"/>
  <c r="G122" i="18"/>
  <c r="G120" i="18"/>
  <c r="G119" i="18"/>
  <c r="G118" i="18"/>
  <c r="G117" i="18"/>
  <c r="G115" i="18"/>
  <c r="G114" i="18"/>
  <c r="G113" i="18"/>
  <c r="G112" i="18"/>
  <c r="G109" i="18"/>
  <c r="G108" i="18"/>
  <c r="G107" i="18"/>
  <c r="G104" i="18"/>
  <c r="G103" i="18"/>
  <c r="G98" i="18"/>
  <c r="G92" i="18"/>
  <c r="G89" i="18"/>
  <c r="G88" i="18"/>
  <c r="G87" i="18"/>
  <c r="G84" i="18"/>
  <c r="G83" i="18"/>
  <c r="G80" i="18"/>
  <c r="G79" i="18"/>
  <c r="G75" i="18"/>
  <c r="G72" i="18"/>
  <c r="G70" i="18"/>
  <c r="G69" i="18"/>
  <c r="G66" i="18"/>
  <c r="G64" i="18"/>
  <c r="G60" i="18"/>
  <c r="G59" i="18"/>
  <c r="G58" i="18"/>
  <c r="G55" i="18"/>
  <c r="G54" i="18"/>
  <c r="G53" i="18"/>
  <c r="G51" i="18"/>
  <c r="G48" i="18"/>
  <c r="G46" i="18"/>
  <c r="G45" i="18"/>
  <c r="G43" i="18"/>
  <c r="G40" i="18"/>
  <c r="G37" i="18"/>
  <c r="G36" i="18"/>
  <c r="G30" i="18"/>
  <c r="G29" i="18"/>
  <c r="G28" i="18"/>
  <c r="G26" i="18"/>
  <c r="G25" i="18"/>
  <c r="G24" i="18"/>
  <c r="G23" i="18"/>
  <c r="G15" i="18"/>
  <c r="G14" i="18"/>
  <c r="G13" i="18"/>
  <c r="G9" i="18"/>
  <c r="G8" i="18"/>
  <c r="F233" i="18"/>
  <c r="F232" i="18"/>
  <c r="F231" i="18"/>
  <c r="F230" i="18"/>
  <c r="F229" i="18"/>
  <c r="F228" i="18"/>
  <c r="F227" i="18"/>
  <c r="F226" i="18"/>
  <c r="F225" i="18"/>
  <c r="F224" i="18"/>
  <c r="F223" i="18"/>
  <c r="F222" i="18"/>
  <c r="F221" i="18"/>
  <c r="F220" i="18"/>
  <c r="F219" i="18"/>
  <c r="F218" i="18"/>
  <c r="F217" i="18"/>
  <c r="F216" i="18"/>
  <c r="F215" i="18"/>
  <c r="F214" i="18"/>
  <c r="F213" i="18"/>
  <c r="F212" i="18"/>
  <c r="F211" i="18"/>
  <c r="F210" i="18"/>
  <c r="F209" i="18"/>
  <c r="F208" i="18"/>
  <c r="F204" i="18"/>
  <c r="F203" i="18"/>
  <c r="F202" i="18"/>
  <c r="F201" i="18"/>
  <c r="F199" i="18"/>
  <c r="F198" i="18"/>
  <c r="F194" i="18"/>
  <c r="F193" i="18"/>
  <c r="F192" i="18"/>
  <c r="F191" i="18"/>
  <c r="F190" i="18"/>
  <c r="F189" i="18"/>
  <c r="F188" i="18"/>
  <c r="F186" i="18"/>
  <c r="F182" i="18"/>
  <c r="F179" i="18"/>
  <c r="F178" i="18"/>
  <c r="F175" i="18"/>
  <c r="F174" i="18"/>
  <c r="F173" i="18"/>
  <c r="F170" i="18"/>
  <c r="F169" i="18"/>
  <c r="F165" i="18"/>
  <c r="F164" i="18"/>
  <c r="F162" i="18"/>
  <c r="F161" i="18"/>
  <c r="F160" i="18"/>
  <c r="F157" i="18"/>
  <c r="F156" i="18"/>
  <c r="F155" i="18"/>
  <c r="F151" i="18"/>
  <c r="F150" i="18"/>
  <c r="F149" i="18"/>
  <c r="F146" i="18"/>
  <c r="F142" i="18"/>
  <c r="F141" i="18"/>
  <c r="F140" i="18"/>
  <c r="F139" i="18"/>
  <c r="F138" i="18"/>
  <c r="F134" i="18"/>
  <c r="F133" i="18"/>
  <c r="F132" i="18"/>
  <c r="F128" i="18"/>
  <c r="F127" i="18"/>
  <c r="F126" i="18"/>
  <c r="F125" i="18"/>
  <c r="F124" i="18"/>
  <c r="F123" i="18"/>
  <c r="F122" i="18"/>
  <c r="F120" i="18"/>
  <c r="F119" i="18"/>
  <c r="F118" i="18"/>
  <c r="F117" i="18"/>
  <c r="F115" i="18"/>
  <c r="F114" i="18"/>
  <c r="F113" i="18"/>
  <c r="F112" i="18"/>
  <c r="F109" i="18"/>
  <c r="F108" i="18"/>
  <c r="F107" i="18"/>
  <c r="F104" i="18"/>
  <c r="F103" i="18"/>
  <c r="F102" i="18"/>
  <c r="F101" i="18"/>
  <c r="F99" i="18"/>
  <c r="F98" i="18"/>
  <c r="F95" i="18"/>
  <c r="F94" i="18"/>
  <c r="F92" i="18"/>
  <c r="F91" i="18"/>
  <c r="F90" i="18"/>
  <c r="F89" i="18"/>
  <c r="F88" i="18"/>
  <c r="F87" i="18"/>
  <c r="F86" i="18"/>
  <c r="F84" i="18"/>
  <c r="F83" i="18"/>
  <c r="F80" i="18"/>
  <c r="F79" i="18"/>
  <c r="F75" i="18"/>
  <c r="F74" i="18"/>
  <c r="F72" i="18"/>
  <c r="F70" i="18"/>
  <c r="F69" i="18"/>
  <c r="F66" i="18"/>
  <c r="F65" i="18"/>
  <c r="F64" i="18"/>
  <c r="F60" i="18"/>
  <c r="F59" i="18"/>
  <c r="F58" i="18"/>
  <c r="F55" i="18"/>
  <c r="F54" i="18"/>
  <c r="F53" i="18"/>
  <c r="F51" i="18"/>
  <c r="F48" i="18"/>
  <c r="F46" i="18"/>
  <c r="F45" i="18"/>
  <c r="F43" i="18"/>
  <c r="F42" i="18"/>
  <c r="F40" i="18"/>
  <c r="F39" i="18"/>
  <c r="F38" i="18"/>
  <c r="F37" i="18"/>
  <c r="F36" i="18"/>
  <c r="F35" i="18"/>
  <c r="F34" i="18"/>
  <c r="F33" i="18"/>
  <c r="F32" i="18"/>
  <c r="F30" i="18"/>
  <c r="F29" i="18"/>
  <c r="F28" i="18"/>
  <c r="F26" i="18"/>
  <c r="F25" i="18"/>
  <c r="F24" i="18"/>
  <c r="F23" i="18"/>
  <c r="F20" i="18"/>
  <c r="F19" i="18"/>
  <c r="F18" i="18"/>
  <c r="F17" i="18"/>
  <c r="F16" i="18"/>
  <c r="F15" i="18"/>
  <c r="F14" i="18"/>
  <c r="F13" i="18"/>
  <c r="F9" i="18"/>
  <c r="F7" i="18"/>
  <c r="D8" i="18"/>
  <c r="D7" i="18" s="1"/>
  <c r="E8" i="18"/>
  <c r="E7" i="18" s="1"/>
  <c r="D13" i="18"/>
  <c r="D12" i="18" s="1"/>
  <c r="D11" i="18" s="1"/>
  <c r="E12" i="18"/>
  <c r="D14" i="18"/>
  <c r="D16" i="18"/>
  <c r="E16" i="18"/>
  <c r="D19" i="18"/>
  <c r="E19" i="18"/>
  <c r="E18" i="18" s="1"/>
  <c r="D20" i="18"/>
  <c r="D18" i="18" s="1"/>
  <c r="E20" i="18"/>
  <c r="D23" i="18"/>
  <c r="D22" i="18" s="1"/>
  <c r="E22" i="18"/>
  <c r="F22" i="18" s="1"/>
  <c r="D25" i="18"/>
  <c r="D30" i="18"/>
  <c r="D27" i="18" s="1"/>
  <c r="E27" i="18"/>
  <c r="E31" i="18"/>
  <c r="D36" i="18"/>
  <c r="D31" i="18" s="1"/>
  <c r="E36" i="18"/>
  <c r="D37" i="18"/>
  <c r="E37" i="18"/>
  <c r="E38" i="18"/>
  <c r="D39" i="18"/>
  <c r="D38" i="18" s="1"/>
  <c r="E39" i="18"/>
  <c r="D40" i="18"/>
  <c r="E40" i="18"/>
  <c r="E42" i="18"/>
  <c r="H42" i="18" s="1"/>
  <c r="D43" i="18"/>
  <c r="D42" i="18" s="1"/>
  <c r="D44" i="18"/>
  <c r="D45" i="18"/>
  <c r="E44" i="18"/>
  <c r="H44" i="18" s="1"/>
  <c r="D47" i="18"/>
  <c r="E47" i="18"/>
  <c r="G47" i="18" s="1"/>
  <c r="D49" i="18"/>
  <c r="D50" i="18"/>
  <c r="D51" i="18"/>
  <c r="E50" i="18"/>
  <c r="D52" i="18"/>
  <c r="E52" i="18"/>
  <c r="H52" i="18" s="1"/>
  <c r="D56" i="18"/>
  <c r="D57" i="18"/>
  <c r="D58" i="18"/>
  <c r="E57" i="18"/>
  <c r="D59" i="18"/>
  <c r="E59" i="18"/>
  <c r="D62" i="18"/>
  <c r="D63" i="18"/>
  <c r="E63" i="18"/>
  <c r="F63" i="18" s="1"/>
  <c r="D65" i="18"/>
  <c r="E65" i="18"/>
  <c r="G65" i="18" s="1"/>
  <c r="D67" i="18"/>
  <c r="D61" i="18" s="1"/>
  <c r="D68" i="18"/>
  <c r="E68" i="18"/>
  <c r="H68" i="18" s="1"/>
  <c r="D71" i="18"/>
  <c r="E71" i="18"/>
  <c r="H71" i="18" s="1"/>
  <c r="E74" i="18"/>
  <c r="E73" i="18" s="1"/>
  <c r="F73" i="18" s="1"/>
  <c r="D75" i="18"/>
  <c r="D74" i="18" s="1"/>
  <c r="D73" i="18" s="1"/>
  <c r="D78" i="18"/>
  <c r="D77" i="18" s="1"/>
  <c r="D80" i="18"/>
  <c r="E78" i="18"/>
  <c r="E77" i="18" s="1"/>
  <c r="H77" i="18" s="1"/>
  <c r="D82" i="18"/>
  <c r="D81" i="18" s="1"/>
  <c r="E82" i="18"/>
  <c r="E81" i="18" s="1"/>
  <c r="D89" i="18"/>
  <c r="D86" i="18" s="1"/>
  <c r="D85" i="18" s="1"/>
  <c r="E89" i="18"/>
  <c r="D92" i="18"/>
  <c r="E92" i="18"/>
  <c r="E86" i="18" s="1"/>
  <c r="D94" i="18"/>
  <c r="D93" i="18" s="1"/>
  <c r="E93" i="18"/>
  <c r="H93" i="18" s="1"/>
  <c r="D95" i="18"/>
  <c r="D97" i="18"/>
  <c r="D96" i="18" s="1"/>
  <c r="E97" i="18"/>
  <c r="E96" i="18" s="1"/>
  <c r="H96" i="18" s="1"/>
  <c r="D103" i="18"/>
  <c r="D102" i="18" s="1"/>
  <c r="D101" i="18" s="1"/>
  <c r="E103" i="18"/>
  <c r="E102" i="18" s="1"/>
  <c r="E101" i="18" s="1"/>
  <c r="E106" i="18"/>
  <c r="E105" i="18" s="1"/>
  <c r="D107" i="18"/>
  <c r="E107" i="18"/>
  <c r="D108" i="18"/>
  <c r="D112" i="18"/>
  <c r="D111" i="18" s="1"/>
  <c r="E112" i="18"/>
  <c r="E111" i="18" s="1"/>
  <c r="F111" i="18" s="1"/>
  <c r="D114" i="18"/>
  <c r="D115" i="18"/>
  <c r="E115" i="18"/>
  <c r="D118" i="18"/>
  <c r="D119" i="18"/>
  <c r="D120" i="18"/>
  <c r="D121" i="18"/>
  <c r="E121" i="18"/>
  <c r="D124" i="18"/>
  <c r="D125" i="18"/>
  <c r="E124" i="18"/>
  <c r="H124" i="18" s="1"/>
  <c r="D127" i="18"/>
  <c r="E127" i="18"/>
  <c r="H127" i="18" s="1"/>
  <c r="E131" i="18"/>
  <c r="E130" i="18" s="1"/>
  <c r="E129" i="18" s="1"/>
  <c r="D134" i="18"/>
  <c r="E134" i="18"/>
  <c r="D141" i="18"/>
  <c r="D137" i="18" s="1"/>
  <c r="D136" i="18" s="1"/>
  <c r="D135" i="18" s="1"/>
  <c r="E141" i="18"/>
  <c r="E137" i="18" s="1"/>
  <c r="E136" i="18" s="1"/>
  <c r="E135" i="18" s="1"/>
  <c r="F135" i="18" s="1"/>
  <c r="D142" i="18"/>
  <c r="E142" i="18"/>
  <c r="E145" i="18"/>
  <c r="E144" i="18" s="1"/>
  <c r="D146" i="18"/>
  <c r="D145" i="18" s="1"/>
  <c r="D144" i="18" s="1"/>
  <c r="D148" i="18"/>
  <c r="D147" i="18" s="1"/>
  <c r="E148" i="18"/>
  <c r="E147" i="18" s="1"/>
  <c r="H147" i="18" s="1"/>
  <c r="D155" i="18"/>
  <c r="D154" i="18" s="1"/>
  <c r="D153" i="18" s="1"/>
  <c r="D156" i="18"/>
  <c r="D157" i="18"/>
  <c r="D160" i="18"/>
  <c r="D159" i="18" s="1"/>
  <c r="D158" i="18" s="1"/>
  <c r="D162" i="18"/>
  <c r="E162" i="18"/>
  <c r="E159" i="18" s="1"/>
  <c r="D163" i="18"/>
  <c r="E163" i="18"/>
  <c r="H163" i="18" s="1"/>
  <c r="D170" i="18"/>
  <c r="D168" i="18" s="1"/>
  <c r="D167" i="18" s="1"/>
  <c r="D166" i="18" s="1"/>
  <c r="E168" i="18"/>
  <c r="E167" i="18" s="1"/>
  <c r="E171" i="18"/>
  <c r="D172" i="18"/>
  <c r="D171" i="18" s="1"/>
  <c r="D173" i="18"/>
  <c r="E173" i="18"/>
  <c r="E172" i="18" s="1"/>
  <c r="D176" i="18"/>
  <c r="D175" i="18" s="1"/>
  <c r="E176" i="18"/>
  <c r="E175" i="18" s="1"/>
  <c r="D177" i="18"/>
  <c r="E177" i="18"/>
  <c r="F177" i="18" s="1"/>
  <c r="D181" i="18"/>
  <c r="D180" i="18" s="1"/>
  <c r="D179" i="18" s="1"/>
  <c r="E181" i="18"/>
  <c r="E180" i="18" s="1"/>
  <c r="E179" i="18" s="1"/>
  <c r="H179" i="18" s="1"/>
  <c r="D185" i="18"/>
  <c r="E185" i="18"/>
  <c r="D187" i="18"/>
  <c r="D184" i="18" s="1"/>
  <c r="D183" i="18" s="1"/>
  <c r="E187" i="18"/>
  <c r="G187" i="18" s="1"/>
  <c r="D192" i="18"/>
  <c r="E192" i="18"/>
  <c r="D193" i="18"/>
  <c r="E193" i="18"/>
  <c r="E191" i="18" s="1"/>
  <c r="E190" i="18" s="1"/>
  <c r="E189" i="18" s="1"/>
  <c r="D194" i="18"/>
  <c r="E194" i="18"/>
  <c r="D198" i="18"/>
  <c r="D197" i="18" s="1"/>
  <c r="D196" i="18" s="1"/>
  <c r="D195" i="18" s="1"/>
  <c r="D199" i="18"/>
  <c r="E197" i="18"/>
  <c r="D200" i="18"/>
  <c r="E200" i="18"/>
  <c r="H200" i="18" s="1"/>
  <c r="E207" i="18"/>
  <c r="E206" i="18" s="1"/>
  <c r="E205" i="18" s="1"/>
  <c r="D210" i="18"/>
  <c r="D211" i="18"/>
  <c r="D212" i="18"/>
  <c r="D213" i="18"/>
  <c r="D214" i="18"/>
  <c r="D216" i="18"/>
  <c r="D220" i="18"/>
  <c r="D222" i="18"/>
  <c r="D223" i="18"/>
  <c r="E223" i="18"/>
  <c r="D224" i="18"/>
  <c r="D225" i="18"/>
  <c r="D226" i="18"/>
  <c r="D228" i="18"/>
  <c r="D229" i="18"/>
  <c r="D232" i="18"/>
  <c r="D233" i="18"/>
  <c r="F97" i="18" l="1"/>
  <c r="H97" i="18"/>
  <c r="F200" i="18"/>
  <c r="E196" i="18"/>
  <c r="E195" i="18" s="1"/>
  <c r="F195" i="18" s="1"/>
  <c r="F196" i="18"/>
  <c r="F197" i="18"/>
  <c r="F187" i="18"/>
  <c r="E184" i="18"/>
  <c r="E183" i="18" s="1"/>
  <c r="G185" i="18"/>
  <c r="F185" i="18"/>
  <c r="F180" i="18"/>
  <c r="G179" i="18"/>
  <c r="F181" i="18"/>
  <c r="G180" i="18"/>
  <c r="G181" i="18"/>
  <c r="H180" i="18"/>
  <c r="F176" i="18"/>
  <c r="H175" i="18"/>
  <c r="H176" i="18"/>
  <c r="H171" i="18"/>
  <c r="H172" i="18"/>
  <c r="F171" i="18"/>
  <c r="E166" i="18"/>
  <c r="H166" i="18" s="1"/>
  <c r="F172" i="18"/>
  <c r="F166" i="18"/>
  <c r="F167" i="18"/>
  <c r="H167" i="18"/>
  <c r="F168" i="18"/>
  <c r="H168" i="18"/>
  <c r="F163" i="18"/>
  <c r="E158" i="18"/>
  <c r="F158" i="18" s="1"/>
  <c r="G163" i="18"/>
  <c r="H158" i="18"/>
  <c r="F159" i="18"/>
  <c r="H159" i="18"/>
  <c r="E143" i="18"/>
  <c r="F147" i="18"/>
  <c r="F148" i="18"/>
  <c r="H148" i="18"/>
  <c r="F144" i="18"/>
  <c r="F145" i="18"/>
  <c r="H144" i="18"/>
  <c r="H137" i="18"/>
  <c r="F136" i="18"/>
  <c r="F137" i="18"/>
  <c r="H135" i="18"/>
  <c r="H136" i="18"/>
  <c r="F121" i="18"/>
  <c r="H121" i="18"/>
  <c r="H111" i="18"/>
  <c r="H105" i="18"/>
  <c r="F106" i="18"/>
  <c r="H106" i="18"/>
  <c r="F105" i="18"/>
  <c r="F96" i="18"/>
  <c r="F93" i="18"/>
  <c r="H81" i="18"/>
  <c r="F81" i="18"/>
  <c r="F82" i="18"/>
  <c r="H82" i="18"/>
  <c r="F77" i="18"/>
  <c r="H78" i="18"/>
  <c r="F78" i="18"/>
  <c r="H74" i="18"/>
  <c r="F71" i="18"/>
  <c r="G71" i="18"/>
  <c r="F68" i="18"/>
  <c r="E67" i="18"/>
  <c r="G68" i="18"/>
  <c r="G63" i="18"/>
  <c r="H63" i="18"/>
  <c r="E56" i="18"/>
  <c r="H56" i="18" s="1"/>
  <c r="H57" i="18"/>
  <c r="F57" i="18"/>
  <c r="E49" i="18"/>
  <c r="G52" i="18"/>
  <c r="F52" i="18"/>
  <c r="F50" i="18"/>
  <c r="H50" i="18"/>
  <c r="F47" i="18"/>
  <c r="H47" i="18"/>
  <c r="D41" i="18"/>
  <c r="F44" i="18"/>
  <c r="H31" i="18"/>
  <c r="F31" i="18"/>
  <c r="F27" i="18"/>
  <c r="H27" i="18"/>
  <c r="F12" i="18"/>
  <c r="H12" i="18"/>
  <c r="F8" i="18"/>
  <c r="H8" i="18"/>
  <c r="D207" i="18"/>
  <c r="D152" i="18"/>
  <c r="D143" i="18"/>
  <c r="F143" i="18" s="1"/>
  <c r="E116" i="18"/>
  <c r="D76" i="18"/>
  <c r="D191" i="18"/>
  <c r="D190" i="18" s="1"/>
  <c r="D189" i="18" s="1"/>
  <c r="E154" i="18"/>
  <c r="E85" i="18"/>
  <c r="E21" i="18"/>
  <c r="D131" i="18"/>
  <c r="D130" i="18" s="1"/>
  <c r="D129" i="18" s="1"/>
  <c r="H129" i="18" s="1"/>
  <c r="D106" i="18"/>
  <c r="D105" i="18" s="1"/>
  <c r="D21" i="18"/>
  <c r="D116" i="18"/>
  <c r="D110" i="18" s="1"/>
  <c r="E41" i="18"/>
  <c r="E62" i="18"/>
  <c r="E11" i="18"/>
  <c r="D206" i="18" l="1"/>
  <c r="H207" i="18"/>
  <c r="F207" i="18"/>
  <c r="H195" i="18"/>
  <c r="H196" i="18"/>
  <c r="H184" i="18"/>
  <c r="G184" i="18"/>
  <c r="F184" i="18"/>
  <c r="G183" i="18"/>
  <c r="H183" i="18"/>
  <c r="F183" i="18"/>
  <c r="E153" i="18"/>
  <c r="H154" i="18"/>
  <c r="F154" i="18"/>
  <c r="H143" i="18"/>
  <c r="H131" i="18"/>
  <c r="F131" i="18"/>
  <c r="F129" i="18"/>
  <c r="H130" i="18"/>
  <c r="F130" i="18"/>
  <c r="E110" i="18"/>
  <c r="D100" i="18"/>
  <c r="H116" i="18"/>
  <c r="F116" i="18"/>
  <c r="E76" i="18"/>
  <c r="H85" i="18"/>
  <c r="F85" i="18"/>
  <c r="F67" i="18"/>
  <c r="H67" i="18"/>
  <c r="G67" i="18"/>
  <c r="E61" i="18"/>
  <c r="F62" i="18"/>
  <c r="H62" i="18"/>
  <c r="G62" i="18"/>
  <c r="F56" i="18"/>
  <c r="F49" i="18"/>
  <c r="H49" i="18"/>
  <c r="D10" i="18"/>
  <c r="H41" i="18"/>
  <c r="F41" i="18"/>
  <c r="H21" i="18"/>
  <c r="F21" i="18"/>
  <c r="H11" i="18"/>
  <c r="F11" i="18"/>
  <c r="E10" i="18"/>
  <c r="D205" i="18" l="1"/>
  <c r="H206" i="18"/>
  <c r="F206" i="18"/>
  <c r="E152" i="18"/>
  <c r="F153" i="18"/>
  <c r="H153" i="18"/>
  <c r="H110" i="18"/>
  <c r="F110" i="18"/>
  <c r="H76" i="18"/>
  <c r="F76" i="18"/>
  <c r="H61" i="18"/>
  <c r="F61" i="18"/>
  <c r="E234" i="18"/>
  <c r="F10" i="18"/>
  <c r="H10" i="18"/>
  <c r="H205" i="18" l="1"/>
  <c r="F205" i="18"/>
  <c r="D234" i="18"/>
  <c r="F234" i="18" s="1"/>
  <c r="H152" i="18"/>
  <c r="F152" i="18"/>
  <c r="H100" i="18"/>
  <c r="F100" i="18"/>
  <c r="H234" i="18" l="1"/>
  <c r="C156" i="18" l="1"/>
  <c r="C200" i="18" l="1"/>
  <c r="C177" i="18" l="1"/>
  <c r="C38" i="18" l="1"/>
  <c r="G38" i="18" s="1"/>
  <c r="C18" i="18"/>
  <c r="C154" i="18"/>
  <c r="C153" i="18" l="1"/>
  <c r="G153" i="18" s="1"/>
  <c r="G154" i="18"/>
  <c r="C31" i="18"/>
  <c r="G31" i="18" s="1"/>
  <c r="C131" i="18"/>
  <c r="G131" i="18" s="1"/>
  <c r="C71" i="18"/>
  <c r="C207" i="18" l="1"/>
  <c r="G207" i="18" s="1"/>
  <c r="C197" i="18"/>
  <c r="G197" i="18" s="1"/>
  <c r="C191" i="18"/>
  <c r="C187" i="18"/>
  <c r="C185" i="18"/>
  <c r="C181" i="18"/>
  <c r="C180" i="18" s="1"/>
  <c r="C179" i="18" s="1"/>
  <c r="C172" i="18"/>
  <c r="C168" i="18"/>
  <c r="C163" i="18"/>
  <c r="C159" i="18"/>
  <c r="G159" i="18" s="1"/>
  <c r="C148" i="18"/>
  <c r="C145" i="18"/>
  <c r="C137" i="18"/>
  <c r="C127" i="18"/>
  <c r="C124" i="18"/>
  <c r="G124" i="18" s="1"/>
  <c r="C121" i="18"/>
  <c r="G121" i="18" s="1"/>
  <c r="C190" i="18" l="1"/>
  <c r="G191" i="18"/>
  <c r="C171" i="18"/>
  <c r="G171" i="18" s="1"/>
  <c r="G172" i="18"/>
  <c r="C167" i="18"/>
  <c r="G167" i="18" s="1"/>
  <c r="G168" i="18"/>
  <c r="C147" i="18"/>
  <c r="G147" i="18" s="1"/>
  <c r="G148" i="18"/>
  <c r="C144" i="18"/>
  <c r="G144" i="18" s="1"/>
  <c r="G145" i="18"/>
  <c r="C136" i="18"/>
  <c r="G137" i="18"/>
  <c r="C196" i="18"/>
  <c r="C143" i="18"/>
  <c r="G143" i="18" s="1"/>
  <c r="C184" i="18"/>
  <c r="C183" i="18" s="1"/>
  <c r="C166" i="18"/>
  <c r="C158" i="18"/>
  <c r="C116" i="18"/>
  <c r="G116" i="18" s="1"/>
  <c r="C111" i="18"/>
  <c r="G111" i="18" s="1"/>
  <c r="C195" i="18" l="1"/>
  <c r="G195" i="18" s="1"/>
  <c r="G196" i="18"/>
  <c r="C189" i="18"/>
  <c r="G189" i="18" s="1"/>
  <c r="G190" i="18"/>
  <c r="C176" i="18"/>
  <c r="G166" i="18"/>
  <c r="C152" i="18"/>
  <c r="G152" i="18" s="1"/>
  <c r="G158" i="18"/>
  <c r="C135" i="18"/>
  <c r="G135" i="18" s="1"/>
  <c r="G136" i="18"/>
  <c r="C110" i="18"/>
  <c r="G110" i="18" s="1"/>
  <c r="C106" i="18"/>
  <c r="C102" i="18"/>
  <c r="C97" i="18"/>
  <c r="C93" i="18"/>
  <c r="C86" i="18"/>
  <c r="G86" i="18" s="1"/>
  <c r="C82" i="18"/>
  <c r="C78" i="18"/>
  <c r="C74" i="18"/>
  <c r="C68" i="18"/>
  <c r="C67" i="18" s="1"/>
  <c r="C65" i="18"/>
  <c r="C63" i="18"/>
  <c r="C59" i="18"/>
  <c r="C57" i="18"/>
  <c r="G57" i="18" s="1"/>
  <c r="C52" i="18"/>
  <c r="C50" i="18"/>
  <c r="G50" i="18" s="1"/>
  <c r="C47" i="18"/>
  <c r="C44" i="18"/>
  <c r="G44" i="18" s="1"/>
  <c r="C42" i="18"/>
  <c r="G42" i="18" s="1"/>
  <c r="C27" i="18"/>
  <c r="G27" i="18" s="1"/>
  <c r="C22" i="18"/>
  <c r="G22" i="18" s="1"/>
  <c r="C16" i="18"/>
  <c r="C12" i="18"/>
  <c r="G12" i="18" s="1"/>
  <c r="C8" i="18"/>
  <c r="C7" i="18" s="1"/>
  <c r="C206" i="18"/>
  <c r="C175" i="18" l="1"/>
  <c r="C205" i="18"/>
  <c r="G205" i="18" s="1"/>
  <c r="G206" i="18"/>
  <c r="C105" i="18"/>
  <c r="G105" i="18" s="1"/>
  <c r="G106" i="18"/>
  <c r="C101" i="18"/>
  <c r="G101" i="18" s="1"/>
  <c r="G102" i="18"/>
  <c r="C96" i="18"/>
  <c r="G96" i="18" s="1"/>
  <c r="G97" i="18"/>
  <c r="C81" i="18"/>
  <c r="G81" i="18" s="1"/>
  <c r="G82" i="18"/>
  <c r="C77" i="18"/>
  <c r="G77" i="18" s="1"/>
  <c r="G78" i="18"/>
  <c r="C73" i="18"/>
  <c r="G73" i="18" s="1"/>
  <c r="G74" i="18"/>
  <c r="C49" i="18"/>
  <c r="G49" i="18" s="1"/>
  <c r="C62" i="18"/>
  <c r="C61" i="18" s="1"/>
  <c r="G61" i="18" s="1"/>
  <c r="C11" i="18"/>
  <c r="G11" i="18" s="1"/>
  <c r="C56" i="18"/>
  <c r="G56" i="18" s="1"/>
  <c r="C85" i="18"/>
  <c r="G85" i="18" s="1"/>
  <c r="C21" i="18"/>
  <c r="G21" i="18" s="1"/>
  <c r="C41" i="18"/>
  <c r="G41" i="18" s="1"/>
  <c r="C100" i="18" l="1"/>
  <c r="G100" i="18" s="1"/>
  <c r="C76" i="18"/>
  <c r="G76" i="18" s="1"/>
  <c r="C10" i="18"/>
  <c r="G10" i="18" s="1"/>
  <c r="C130" i="18" l="1"/>
  <c r="C129" i="18" l="1"/>
  <c r="G130" i="18"/>
  <c r="C234" i="18" l="1"/>
  <c r="G234" i="18" s="1"/>
  <c r="G129" i="18"/>
</calcChain>
</file>

<file path=xl/sharedStrings.xml><?xml version="1.0" encoding="utf-8"?>
<sst xmlns="http://schemas.openxmlformats.org/spreadsheetml/2006/main" count="512" uniqueCount="435">
  <si>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</si>
  <si>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</si>
  <si>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</si>
  <si>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</si>
  <si>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</si>
  <si>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</si>
  <si>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</si>
  <si>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</si>
  <si>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</si>
  <si>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</si>
  <si>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</si>
  <si>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</si>
  <si>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</si>
  <si>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</si>
  <si>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</si>
  <si>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</si>
  <si>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</si>
  <si>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</si>
  <si>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</si>
  <si>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</si>
  <si>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</si>
  <si>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</si>
  <si>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</si>
  <si>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</si>
  <si>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</si>
  <si>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Наименование</t>
  </si>
  <si>
    <t>Целевая статья</t>
  </si>
  <si>
    <t>Процентные платежи по муниципальному долгу</t>
  </si>
  <si>
    <t>Всего расходов</t>
  </si>
  <si>
    <t>Расходы, связанные с исполнением решений, принятых судебными органами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</si>
  <si>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</si>
  <si>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</si>
  <si>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</si>
  <si>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</si>
  <si>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</si>
  <si>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</si>
  <si>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</si>
  <si>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Проведение мероприятий для детей и молодежи</t>
  </si>
  <si>
    <t>Пенсии за выслугу лет муниципальным служащим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</si>
  <si>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</si>
  <si>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</si>
  <si>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</si>
  <si>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</si>
  <si>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</si>
  <si>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</si>
  <si>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</si>
  <si>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</si>
  <si>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</si>
  <si>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</si>
  <si>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</si>
  <si>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</si>
  <si>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</si>
  <si>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</si>
  <si>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</si>
  <si>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</si>
  <si>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</si>
  <si>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</si>
  <si>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</si>
  <si>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</si>
  <si>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</si>
  <si>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</si>
  <si>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</si>
  <si>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</si>
  <si>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</si>
  <si>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</si>
  <si>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</si>
  <si>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</si>
  <si>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</si>
  <si>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</si>
  <si>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05 3 00 00000</t>
  </si>
  <si>
    <t>02 6 00 00000</t>
  </si>
  <si>
    <t>06 6 00 00000</t>
  </si>
  <si>
    <t>99 9 99 59300</t>
  </si>
  <si>
    <t>12 2 03 00000</t>
  </si>
  <si>
    <t>06 6 01 S2320</t>
  </si>
  <si>
    <t>06 3 01 L4970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</si>
  <si>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</si>
  <si>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</si>
  <si>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</si>
  <si>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</si>
  <si>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</si>
  <si>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</si>
  <si>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</si>
  <si>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</si>
  <si>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</si>
  <si>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</si>
  <si>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</si>
  <si>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</si>
  <si>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</si>
  <si>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</si>
  <si>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</si>
  <si>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</si>
  <si>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</si>
  <si>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</si>
  <si>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</si>
  <si>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</si>
  <si>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</si>
  <si>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</si>
  <si>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</si>
  <si>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</si>
  <si>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</si>
  <si>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</si>
  <si>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</si>
  <si>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</si>
  <si>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</si>
  <si>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</si>
  <si>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</si>
  <si>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</si>
  <si>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</si>
  <si>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</si>
  <si>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</si>
  <si>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</si>
  <si>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</si>
  <si>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</si>
  <si>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</si>
  <si>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</si>
  <si>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</si>
  <si>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</si>
  <si>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</si>
  <si>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</si>
  <si>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</si>
  <si>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</si>
  <si>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</si>
  <si>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</si>
  <si>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</si>
  <si>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</si>
  <si>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</si>
  <si>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</si>
  <si>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</si>
  <si>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</si>
  <si>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</si>
  <si>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</si>
  <si>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</si>
  <si>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</si>
  <si>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</si>
  <si>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</si>
  <si>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</si>
  <si>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</si>
  <si>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</si>
  <si>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</si>
  <si>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</si>
  <si>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</si>
  <si>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</si>
  <si>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</si>
  <si>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</si>
  <si>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</si>
  <si>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</si>
  <si>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</si>
  <si>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</si>
  <si>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</si>
  <si>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</si>
  <si>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</si>
  <si>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</si>
  <si>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</si>
  <si>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</si>
  <si>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</si>
  <si>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</si>
  <si>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</si>
  <si>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</si>
  <si>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</si>
  <si>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</si>
  <si>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</si>
  <si>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</si>
  <si>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</si>
  <si>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</si>
  <si>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</si>
  <si>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</si>
  <si>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</si>
  <si>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</si>
  <si>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</si>
  <si>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</si>
  <si>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</si>
  <si>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</si>
  <si>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</si>
  <si>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</si>
  <si>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</si>
  <si>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</si>
  <si>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</si>
  <si>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</si>
  <si>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</si>
  <si>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</si>
  <si>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</si>
  <si>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</si>
  <si>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</si>
  <si>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</si>
  <si>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</si>
  <si>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</si>
  <si>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</si>
  <si>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</si>
  <si>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</si>
  <si>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</si>
  <si>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</si>
  <si>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</si>
  <si>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</si>
  <si>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</si>
  <si>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</si>
  <si>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</si>
  <si>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</si>
  <si>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</si>
  <si>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</si>
  <si>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</si>
  <si>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</si>
  <si>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</si>
  <si>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</si>
  <si>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</si>
  <si>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</si>
  <si>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</si>
  <si>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</si>
  <si>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</si>
  <si>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</si>
  <si>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</si>
  <si>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</si>
  <si>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</si>
  <si>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</si>
  <si>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</si>
  <si>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</si>
  <si>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</si>
  <si>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</si>
  <si>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</si>
  <si>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</si>
  <si>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</si>
  <si>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</si>
  <si>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</si>
  <si>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</si>
  <si>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</si>
  <si>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</si>
  <si>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</si>
  <si>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</si>
  <si>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</si>
  <si>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</si>
  <si>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</si>
  <si>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</si>
  <si>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</si>
  <si>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</si>
  <si>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</si>
  <si>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</si>
  <si>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</si>
  <si>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</si>
  <si>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</si>
  <si>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</si>
  <si>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</si>
  <si>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</si>
  <si>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</si>
  <si>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</si>
  <si>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</si>
  <si>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</si>
  <si>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</si>
  <si>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</si>
  <si>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</si>
  <si>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</si>
  <si>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</si>
  <si>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</si>
  <si>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</si>
  <si>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</si>
  <si>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</si>
  <si>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</si>
  <si>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</si>
  <si>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</si>
  <si>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</si>
  <si>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</si>
  <si>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</si>
  <si>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</si>
  <si>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</si>
  <si>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</si>
  <si>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</si>
  <si>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</si>
  <si>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99 9 99 10080</t>
  </si>
  <si>
    <t>Организация выполнения и осуществления мер пожарной безопасности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</si>
  <si>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</si>
  <si>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</si>
  <si>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</si>
  <si>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</si>
  <si>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</si>
  <si>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</si>
  <si>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</si>
  <si>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</si>
  <si>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</si>
  <si>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</si>
  <si>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</si>
  <si>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</si>
  <si>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</si>
  <si>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</si>
  <si>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</si>
  <si>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</si>
  <si>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</si>
  <si>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</si>
  <si>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</si>
  <si>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</si>
  <si>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</si>
  <si>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</si>
  <si>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</si>
  <si>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</si>
  <si>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</si>
  <si>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</si>
  <si>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</si>
  <si>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</si>
  <si>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</si>
  <si>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</si>
  <si>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</si>
  <si>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</si>
  <si>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</si>
  <si>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</si>
  <si>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</si>
  <si>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</si>
  <si>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</si>
  <si>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</si>
  <si>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Субсидии на возмещение затрат на оплату услуг по обеспечению твердым топливом семей военослужащих в зоне СВО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</si>
  <si>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</si>
  <si>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</si>
  <si>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</si>
  <si>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</si>
  <si>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</si>
  <si>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</si>
  <si>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</si>
  <si>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</si>
  <si>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</si>
  <si>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</si>
  <si>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</si>
  <si>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</si>
  <si>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</si>
  <si>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</si>
  <si>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</si>
  <si>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</si>
  <si>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</si>
  <si>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</si>
  <si>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</si>
  <si>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</si>
  <si>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</si>
  <si>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</si>
  <si>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</si>
  <si>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</si>
  <si>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</si>
  <si>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</si>
  <si>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</si>
  <si>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</si>
  <si>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</si>
  <si>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</si>
  <si>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</si>
  <si>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</si>
  <si>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</si>
  <si>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</si>
  <si>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</si>
  <si>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</si>
  <si>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</si>
  <si>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</si>
  <si>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03 3 01 00000</t>
  </si>
  <si>
    <t>03 3 01 20080</t>
  </si>
  <si>
    <t xml:space="preserve">Обеспечение беспрепятственного доступа инвалидов к объектам социальной инфраструктуры и информации </t>
  </si>
  <si>
    <t>Подпрограмма "Организация досуга и обеспечение населения Шкотовского муниципального округа услугами организации культуры" (клубная система)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</si>
  <si>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</si>
  <si>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05 4 01 00000</t>
  </si>
  <si>
    <t>07 1 01 00000</t>
  </si>
  <si>
    <t>Основное мероприятие "Развитие материально-технической базы для защиты населения и территории от чрезвычайных ситуаций"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</si>
  <si>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</si>
  <si>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18 1 03 00000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</si>
  <si>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</si>
  <si>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</si>
  <si>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99 9 99 10040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</si>
  <si>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</si>
  <si>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 xml:space="preserve">Подпрограмма "Патриотическое воспитание жителей Шкотовского муниципального округа Приморского края" 
</t>
  </si>
  <si>
    <t>Муниципальная программа "Формирование современной городской среды Шкотовского муниципального округа" на 2024-2027 годы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</si>
  <si>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</si>
  <si>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</si>
  <si>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</si>
  <si>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Подпрограмма "Реализация образовательных программ общего образования"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</si>
  <si>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</si>
  <si>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</si>
  <si>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>Реализация национального проекта "Образование</t>
  </si>
  <si>
    <t>"Формирование современной городской среды Шкотовского муниципального округа" на 2024-2027 годы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</si>
  <si>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</si>
  <si>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99 9 99 10100</t>
  </si>
  <si>
    <t>02 5 02 80010</t>
  </si>
  <si>
    <t>07 1 01 20360</t>
  </si>
  <si>
    <t>Предоставление мер социальной поддержки педагогическим работникам муниципальных бюджетных учреждений Шкотовского муниципального округа</t>
  </si>
  <si>
    <t>17 2 03 20370</t>
  </si>
  <si>
    <t>99 9 99 93010</t>
  </si>
  <si>
    <t>99 9 99 93030</t>
  </si>
  <si>
    <t>07 1 01 20380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</si>
  <si>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</si>
  <si>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Муниципальная программа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</si>
  <si>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Субсидии бюджетам муниципальных образований на мероприятия по созданию и развитию системы газоснабжения муниципальных образований</t>
  </si>
  <si>
    <t>Субсидии из краевого бюджета бюджетам муниципальных образований Приморского края на реализацию федеральной целевой программы "Увековечение памяти погибших при защите Отечества на 2019 - 2024 годы"</t>
  </si>
  <si>
    <t>Компенсационные выплаты на возмещение затрат многодетных семей на обеспечение земельных участков инженерной инфраструктурой ВКХ</t>
  </si>
  <si>
    <t>Содержание общественных кладбищ Шкотовского муниципального округа</t>
  </si>
  <si>
    <t>Субвенции на реализацию государственных полномочий в сфере транспортного обслуживания по муниципальным маршрутам в границах муниципальных образований</t>
  </si>
  <si>
    <t>03 3 02 00000</t>
  </si>
  <si>
    <t>03 3 02 20020</t>
  </si>
  <si>
    <t>Организация культурных и спортивных мероприятий, с участием людей с ограниченными возможностями"</t>
  </si>
  <si>
    <t>Основное мероприятие "Организация культурных и спортивных мероприятий, с участием людей с ограниченными возможностями"</t>
  </si>
  <si>
    <t>14 0 00 00000</t>
  </si>
  <si>
    <t>14 1 00 00000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</si>
  <si>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</si>
  <si>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</si>
  <si>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</si>
  <si>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14 1 01 00000</t>
  </si>
  <si>
    <t>14 1 01 L5990</t>
  </si>
  <si>
    <t>Субсидии бюджетам на подготовку проектов межевания земельных участков и на проведение кадастровых работ</t>
  </si>
  <si>
    <t>20 1 05 00000</t>
  </si>
  <si>
    <t>Основное мероприятие "Реализация проектов инициативного бюджетирования по направлению "Твой проект""</t>
  </si>
  <si>
    <t>20 1 05 S2361</t>
  </si>
  <si>
    <t>20 1 05 S2362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</si>
  <si>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</si>
  <si>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</si>
  <si>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</si>
  <si>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</si>
  <si>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02 2 03 S2751</t>
  </si>
  <si>
    <t>02 2 03 S2752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</si>
  <si>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</si>
  <si>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</si>
  <si>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</si>
  <si>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</si>
  <si>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05 3 А1 00000</t>
  </si>
  <si>
    <t>Региональный проект "Культурная среда"</t>
  </si>
  <si>
    <t>05 3 A1 55130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</si>
  <si>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</si>
  <si>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</si>
  <si>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помещениями,  за счет средств краевого бюджета</t>
  </si>
  <si>
    <t>06 5 01 93210</t>
  </si>
  <si>
    <t>12 2 R1 S2440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</si>
  <si>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</si>
  <si>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</si>
  <si>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</si>
  <si>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</si>
  <si>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</si>
  <si>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>Первоначальный бюджет на 2024 год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</si>
  <si>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</si>
  <si>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</si>
  <si>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</si>
  <si>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6=4-5</t>
  </si>
  <si>
    <t>7=5/3*100</t>
  </si>
  <si>
    <t>8=5/4*100</t>
  </si>
  <si>
    <t xml:space="preserve">Отчет об исполнении расходной части бюджета Шкотовского муниципального округа на 01 октября 2024 год по муниципальным программам и непрограммным направлениям деятельности </t>
  </si>
  <si>
    <t>Назначено с учетом внесенных изменений на  01 октября 2024 года</t>
  </si>
  <si>
    <t>Исполнено на 01 октября 2024 года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</si>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</sst>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15">
    <xf numFmtId="0" fontId="0" fillId="0" borderId="0" xfId="0"/>
    <xf numFmtId="3" fontId="9" fillId="2" borderId="0" xfId="0" applyNumberFormat="1" applyFont="1" applyFill="1"/>
    <xf numFmtId="4" fontId="9" fillId="2" borderId="0" xfId="0" applyNumberFormat="1" applyFont="1" applyFill="1"/>
    <xf numFmtId="0" fontId="9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/>
    </xf>
    <xf numFmtId="3" fontId="4" fillId="2" borderId="0" xfId="0" applyNumberFormat="1" applyFont="1" applyFill="1"/>
    <xf numFmtId="4" fontId="4" fillId="2" borderId="0" xfId="0" applyNumberFormat="1" applyFont="1" applyFill="1"/>
    <xf numFmtId="0" fontId="4" fillId="2" borderId="0" xfId="0" applyFont="1" applyFill="1"/>
    <xf numFmtId="49" fontId="6" fillId="2" borderId="2" xfId="0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3" fillId="2" borderId="0" xfId="0" applyFont="1" applyFill="1"/>
    <xf numFmtId="0" fontId="7" fillId="2" borderId="2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2" xfId="3" applyNumberFormat="1" applyFont="1" applyFill="1" applyBorder="1" applyAlignment="1">
      <alignment horizontal="center" vertical="center"/>
    </xf>
    <xf numFmtId="4" fontId="6" fillId="2" borderId="2" xfId="3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top" wrapText="1"/>
    </xf>
    <xf numFmtId="0" fontId="2" fillId="2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wrapText="1"/>
    </xf>
    <xf numFmtId="0" fontId="7" fillId="2" borderId="0" xfId="0" applyNumberFormat="1" applyFont="1" applyFill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1" fillId="2" borderId="0" xfId="0" applyFont="1" applyFill="1"/>
    <xf numFmtId="3" fontId="11" fillId="2" borderId="0" xfId="0" applyNumberFormat="1" applyFont="1" applyFill="1"/>
    <xf numFmtId="4" fontId="11" fillId="2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4" fontId="10" fillId="2" borderId="0" xfId="0" applyNumberFormat="1" applyFont="1" applyFill="1"/>
    <xf numFmtId="0" fontId="0" fillId="2" borderId="0" xfId="0" applyFill="1"/>
    <xf numFmtId="0" fontId="0" fillId="0" borderId="0" xfId="0" applyFont="1" applyFill="1"/>
    <xf numFmtId="2" fontId="0" fillId="0" borderId="0" xfId="0" applyNumberFormat="1" applyFont="1" applyFill="1" applyAlignment="1">
      <alignment vertical="top"/>
    </xf>
    <xf numFmtId="4" fontId="0" fillId="0" borderId="0" xfId="0" applyNumberFormat="1" applyFont="1" applyFill="1"/>
    <xf numFmtId="0" fontId="0" fillId="0" borderId="0" xfId="0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2" fillId="0" borderId="0" xfId="0" applyNumberFormat="1" applyFont="1" applyFill="1"/>
    <xf numFmtId="0" fontId="2" fillId="0" borderId="0" xfId="0" applyFont="1" applyFill="1"/>
    <xf numFmtId="0" fontId="13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4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5" fontId="12" fillId="0" borderId="7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/>
    </xf>
    <xf numFmtId="11" fontId="7" fillId="2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 shrinkToFit="1"/>
    </xf>
    <xf numFmtId="49" fontId="7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shrinkToFit="1"/>
    </xf>
    <xf numFmtId="0" fontId="2" fillId="2" borderId="10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3" fontId="2" fillId="2" borderId="10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6" fillId="0" borderId="2" xfId="3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5" fillId="0" borderId="2" xfId="3" applyNumberFormat="1" applyFont="1" applyFill="1" applyBorder="1" applyAlignment="1">
      <alignment horizontal="center" vertical="center"/>
    </xf>
    <xf numFmtId="2" fontId="11" fillId="0" borderId="0" xfId="0" applyNumberFormat="1" applyFont="1" applyFill="1" applyAlignment="1">
      <alignment vertical="top"/>
    </xf>
    <xf numFmtId="2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/>
    <xf numFmtId="2" fontId="9" fillId="0" borderId="0" xfId="0" applyNumberFormat="1" applyFont="1" applyFill="1" applyAlignment="1">
      <alignment vertical="top"/>
    </xf>
    <xf numFmtId="0" fontId="11" fillId="0" borderId="0" xfId="0" applyFont="1" applyFill="1"/>
    <xf numFmtId="0" fontId="3" fillId="0" borderId="0" xfId="0" applyFont="1" applyFill="1"/>
    <xf numFmtId="0" fontId="9" fillId="0" borderId="0" xfId="0" applyFont="1" applyFill="1"/>
    <xf numFmtId="0" fontId="2" fillId="0" borderId="0" xfId="0" applyFont="1" applyAlignment="1">
      <alignment horizontal="right"/>
    </xf>
    <xf numFmtId="2" fontId="12" fillId="0" borderId="0" xfId="0" applyNumberFormat="1" applyFont="1" applyFill="1" applyAlignment="1">
      <alignment horizontal="center" wrapText="1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9"/>
  <sheetViews>
    <sheetView showGridLines="0" tabSelected="1" view="pageBreakPreview" topLeftCell="A166" zoomScaleSheetLayoutView="100" workbookViewId="0">
      <selection activeCell="A3" sqref="A3:H3"/>
    </sheetView>
  </sheetViews>
  <sheetFormatPr defaultColWidth="8.88671875" defaultRowHeight="13.2" outlineLevelRow="5" x14ac:dyDescent="0.25"/>
  <cols>
    <col min="1" max="1" width="62.44140625" style="3" customWidth="1"/>
    <col min="2" max="2" width="15.88671875" style="3" customWidth="1"/>
    <col min="3" max="3" width="20.5546875" style="112" customWidth="1"/>
    <col min="4" max="4" width="19.44140625" style="109" customWidth="1"/>
    <col min="5" max="5" width="19.33203125" style="3" customWidth="1"/>
    <col min="6" max="6" width="24" style="1" customWidth="1"/>
    <col min="7" max="7" width="26.33203125" style="2" customWidth="1"/>
    <col min="8" max="8" width="17.109375" style="3" customWidth="1"/>
    <col min="9" max="9" width="8.88671875" style="3" customWidth="1"/>
    <col min="10" max="10" width="15.5546875" style="3" customWidth="1"/>
    <col min="11" max="16384" width="8.88671875" style="3"/>
  </cols>
  <sheetData>
    <row r="2" spans="1:12" s="56" customFormat="1" ht="28.2" customHeight="1" x14ac:dyDescent="0.3">
      <c r="C2" s="57"/>
      <c r="F2" s="113"/>
      <c r="G2" s="113"/>
      <c r="H2" s="113"/>
      <c r="J2" s="58"/>
      <c r="K2" s="58"/>
      <c r="L2" s="58"/>
    </row>
    <row r="3" spans="1:12" s="62" customFormat="1" ht="36.6" customHeight="1" x14ac:dyDescent="0.3">
      <c r="A3" s="114" t="s">
        <v>431</v>
      </c>
      <c r="B3" s="114"/>
      <c r="C3" s="114"/>
      <c r="D3" s="114"/>
      <c r="E3" s="114"/>
      <c r="F3" s="114"/>
      <c r="G3" s="114"/>
      <c r="H3" s="114"/>
      <c r="I3" s="59"/>
      <c r="J3" s="60"/>
      <c r="K3" s="60"/>
      <c r="L3" s="61"/>
    </row>
    <row r="4" spans="1:12" s="62" customFormat="1" ht="18.600000000000001" thickBot="1" x14ac:dyDescent="0.4">
      <c r="A4" s="63"/>
      <c r="B4" s="63"/>
      <c r="C4" s="64"/>
      <c r="D4" s="65"/>
      <c r="E4" s="65"/>
      <c r="F4" s="65"/>
      <c r="G4" s="64"/>
      <c r="H4" s="66" t="s">
        <v>124</v>
      </c>
      <c r="J4" s="61"/>
      <c r="K4" s="61"/>
      <c r="L4" s="61"/>
    </row>
    <row r="5" spans="1:12" s="62" customFormat="1" ht="100.8" x14ac:dyDescent="0.3">
      <c r="A5" s="67" t="s">
        <v>25</v>
      </c>
      <c r="B5" s="68" t="s">
        <v>26</v>
      </c>
      <c r="C5" s="69" t="s">
        <v>424</v>
      </c>
      <c r="D5" s="70" t="s">
        <v>432</v>
      </c>
      <c r="E5" s="68" t="s">
        <v>433</v>
      </c>
      <c r="F5" s="68" t="s">
        <v>425</v>
      </c>
      <c r="G5" s="71" t="s">
        <v>426</v>
      </c>
      <c r="H5" s="72" t="s">
        <v>427</v>
      </c>
      <c r="J5" s="61"/>
      <c r="K5" s="61"/>
      <c r="L5" s="61"/>
    </row>
    <row r="6" spans="1:12" s="62" customFormat="1" ht="43.95" customHeight="1" x14ac:dyDescent="0.3">
      <c r="A6" s="73">
        <v>1</v>
      </c>
      <c r="B6" s="74">
        <v>2</v>
      </c>
      <c r="C6" s="75">
        <v>3</v>
      </c>
      <c r="D6" s="76">
        <v>4</v>
      </c>
      <c r="E6" s="75">
        <v>5</v>
      </c>
      <c r="F6" s="74" t="s">
        <v>428</v>
      </c>
      <c r="G6" s="75" t="s">
        <v>429</v>
      </c>
      <c r="H6" s="74" t="s">
        <v>430</v>
      </c>
      <c r="J6" s="61"/>
      <c r="K6" s="61"/>
      <c r="L6" s="61"/>
    </row>
    <row r="7" spans="1:12" s="10" customFormat="1" ht="46.8" x14ac:dyDescent="0.3">
      <c r="A7" s="6" t="s">
        <v>236</v>
      </c>
      <c r="B7" s="77" t="s">
        <v>2</v>
      </c>
      <c r="C7" s="98">
        <f>C8</f>
        <v>300000</v>
      </c>
      <c r="D7" s="98">
        <f t="shared" ref="D7:E8" si="0">D8</f>
        <v>300000</v>
      </c>
      <c r="E7" s="7">
        <f t="shared" si="0"/>
        <v>194671</v>
      </c>
      <c r="F7" s="7">
        <f>$D7-$E7</f>
        <v>105329</v>
      </c>
      <c r="G7" s="7">
        <f>$E7/$C7*100</f>
        <v>64.89</v>
      </c>
      <c r="H7" s="7">
        <f>$E7/$D7*100</f>
        <v>64.89</v>
      </c>
      <c r="J7" s="9"/>
    </row>
    <row r="8" spans="1:12" s="10" customFormat="1" ht="31.2" x14ac:dyDescent="0.3">
      <c r="A8" s="11" t="s">
        <v>237</v>
      </c>
      <c r="B8" s="77" t="s">
        <v>3</v>
      </c>
      <c r="C8" s="98">
        <f>C9</f>
        <v>300000</v>
      </c>
      <c r="D8" s="98">
        <f t="shared" si="0"/>
        <v>300000</v>
      </c>
      <c r="E8" s="7">
        <f t="shared" si="0"/>
        <v>194671</v>
      </c>
      <c r="F8" s="7">
        <f t="shared" ref="F8:F71" si="1">$D8-$E8</f>
        <v>105329</v>
      </c>
      <c r="G8" s="7">
        <f t="shared" ref="G8:G71" si="2">$E8/$C8*100</f>
        <v>64.89</v>
      </c>
      <c r="H8" s="7">
        <f t="shared" ref="H8:H71" si="3">$E8/$D8*100</f>
        <v>64.89</v>
      </c>
      <c r="J8" s="9"/>
    </row>
    <row r="9" spans="1:12" s="15" customFormat="1" ht="31.2" x14ac:dyDescent="0.3">
      <c r="A9" s="12" t="s">
        <v>238</v>
      </c>
      <c r="B9" s="78" t="s">
        <v>4</v>
      </c>
      <c r="C9" s="99">
        <v>300000</v>
      </c>
      <c r="D9" s="99">
        <v>300000</v>
      </c>
      <c r="E9" s="13">
        <v>194671</v>
      </c>
      <c r="F9" s="13">
        <f t="shared" si="1"/>
        <v>105329</v>
      </c>
      <c r="G9" s="13">
        <f t="shared" si="2"/>
        <v>64.89</v>
      </c>
      <c r="H9" s="13">
        <f t="shared" si="3"/>
        <v>64.89</v>
      </c>
      <c r="J9" s="9"/>
    </row>
    <row r="10" spans="1:12" s="10" customFormat="1" ht="46.8" x14ac:dyDescent="0.3">
      <c r="A10" s="16" t="s">
        <v>362</v>
      </c>
      <c r="B10" s="79" t="s">
        <v>0</v>
      </c>
      <c r="C10" s="98">
        <f>C11+C21+C41+C49+C56</f>
        <v>716572510.22000003</v>
      </c>
      <c r="D10" s="98">
        <f t="shared" ref="D10:E10" si="4">D11+D21+D41+D49+D56</f>
        <v>686926922.03999996</v>
      </c>
      <c r="E10" s="7">
        <f t="shared" si="4"/>
        <v>517673145.08999997</v>
      </c>
      <c r="F10" s="7">
        <f t="shared" si="1"/>
        <v>169253776.94999999</v>
      </c>
      <c r="G10" s="7">
        <f t="shared" si="2"/>
        <v>72.239999999999995</v>
      </c>
      <c r="H10" s="7">
        <f t="shared" si="3"/>
        <v>75.36</v>
      </c>
      <c r="J10" s="9"/>
    </row>
    <row r="11" spans="1:12" s="10" customFormat="1" ht="31.2" x14ac:dyDescent="0.3">
      <c r="A11" s="6" t="s">
        <v>178</v>
      </c>
      <c r="B11" s="80" t="s">
        <v>18</v>
      </c>
      <c r="C11" s="100">
        <f>C12+C16+C18</f>
        <v>186071010.91</v>
      </c>
      <c r="D11" s="100">
        <f t="shared" ref="D11:E11" si="5">D12+D16+D18</f>
        <v>185924560.91</v>
      </c>
      <c r="E11" s="19">
        <f t="shared" si="5"/>
        <v>138834271.66</v>
      </c>
      <c r="F11" s="19">
        <f t="shared" si="1"/>
        <v>47090289.25</v>
      </c>
      <c r="G11" s="19">
        <f t="shared" si="2"/>
        <v>74.61</v>
      </c>
      <c r="H11" s="19">
        <f t="shared" si="3"/>
        <v>74.67</v>
      </c>
      <c r="J11" s="9"/>
    </row>
    <row r="12" spans="1:12" s="10" customFormat="1" ht="31.2" x14ac:dyDescent="0.3">
      <c r="A12" s="18" t="s">
        <v>110</v>
      </c>
      <c r="B12" s="80" t="s">
        <v>111</v>
      </c>
      <c r="C12" s="100">
        <f>C13+C14+C15</f>
        <v>185971010.91</v>
      </c>
      <c r="D12" s="100">
        <f t="shared" ref="D12:E12" si="6">D13+D14+D15</f>
        <v>185924560.91</v>
      </c>
      <c r="E12" s="19">
        <f t="shared" si="6"/>
        <v>138834271.66</v>
      </c>
      <c r="F12" s="19">
        <f t="shared" si="1"/>
        <v>47090289.25</v>
      </c>
      <c r="G12" s="19">
        <f t="shared" si="2"/>
        <v>74.650000000000006</v>
      </c>
      <c r="H12" s="19">
        <f t="shared" si="3"/>
        <v>74.67</v>
      </c>
      <c r="J12" s="9"/>
    </row>
    <row r="13" spans="1:12" s="10" customFormat="1" ht="31.2" x14ac:dyDescent="0.3">
      <c r="A13" s="4" t="s">
        <v>41</v>
      </c>
      <c r="B13" s="81" t="s">
        <v>107</v>
      </c>
      <c r="C13" s="99">
        <f>105315775.91</f>
        <v>105315775.91</v>
      </c>
      <c r="D13" s="99">
        <f t="shared" ref="D13" si="7">105315775.91-1300000</f>
        <v>104015775.91</v>
      </c>
      <c r="E13" s="13">
        <v>71924064.810000002</v>
      </c>
      <c r="F13" s="13">
        <f t="shared" si="1"/>
        <v>32091711.100000001</v>
      </c>
      <c r="G13" s="13">
        <f t="shared" si="2"/>
        <v>68.290000000000006</v>
      </c>
      <c r="H13" s="13">
        <f t="shared" si="3"/>
        <v>69.150000000000006</v>
      </c>
      <c r="J13" s="9"/>
    </row>
    <row r="14" spans="1:12" s="10" customFormat="1" ht="78" x14ac:dyDescent="0.3">
      <c r="A14" s="4" t="s">
        <v>43</v>
      </c>
      <c r="B14" s="81" t="s">
        <v>108</v>
      </c>
      <c r="C14" s="99">
        <f>453000</f>
        <v>453000</v>
      </c>
      <c r="D14" s="99">
        <f t="shared" ref="D14" si="8">453000+240000+1013550</f>
        <v>1706550</v>
      </c>
      <c r="E14" s="13">
        <v>599240.77</v>
      </c>
      <c r="F14" s="13">
        <f t="shared" si="1"/>
        <v>1107309.23</v>
      </c>
      <c r="G14" s="13">
        <f t="shared" si="2"/>
        <v>132.28</v>
      </c>
      <c r="H14" s="13">
        <f t="shared" si="3"/>
        <v>35.11</v>
      </c>
      <c r="J14" s="9"/>
    </row>
    <row r="15" spans="1:12" s="10" customFormat="1" ht="62.4" x14ac:dyDescent="0.3">
      <c r="A15" s="4" t="s">
        <v>149</v>
      </c>
      <c r="B15" s="81" t="s">
        <v>109</v>
      </c>
      <c r="C15" s="101">
        <v>80202235</v>
      </c>
      <c r="D15" s="101">
        <v>80202235</v>
      </c>
      <c r="E15" s="20">
        <v>66310966.079999998</v>
      </c>
      <c r="F15" s="20">
        <f t="shared" si="1"/>
        <v>13891268.92</v>
      </c>
      <c r="G15" s="20">
        <f t="shared" si="2"/>
        <v>82.68</v>
      </c>
      <c r="H15" s="20">
        <f t="shared" si="3"/>
        <v>82.68</v>
      </c>
      <c r="J15" s="9"/>
    </row>
    <row r="16" spans="1:12" s="10" customFormat="1" ht="31.2" x14ac:dyDescent="0.3">
      <c r="A16" s="18" t="s">
        <v>179</v>
      </c>
      <c r="B16" s="80" t="s">
        <v>180</v>
      </c>
      <c r="C16" s="100">
        <f>C17</f>
        <v>0</v>
      </c>
      <c r="D16" s="100">
        <f t="shared" ref="D16:E16" si="9">D17</f>
        <v>0</v>
      </c>
      <c r="E16" s="19">
        <f t="shared" si="9"/>
        <v>0</v>
      </c>
      <c r="F16" s="19">
        <f t="shared" si="1"/>
        <v>0</v>
      </c>
      <c r="G16" s="19" t="s">
        <v>434</v>
      </c>
      <c r="H16" s="19" t="s">
        <v>434</v>
      </c>
      <c r="J16" s="9"/>
    </row>
    <row r="17" spans="1:10" s="15" customFormat="1" ht="62.4" x14ac:dyDescent="0.3">
      <c r="A17" s="4" t="s">
        <v>163</v>
      </c>
      <c r="B17" s="81" t="s">
        <v>164</v>
      </c>
      <c r="C17" s="99">
        <v>0</v>
      </c>
      <c r="D17" s="99">
        <v>0</v>
      </c>
      <c r="E17" s="13">
        <v>0</v>
      </c>
      <c r="F17" s="13">
        <f t="shared" si="1"/>
        <v>0</v>
      </c>
      <c r="G17" s="13" t="s">
        <v>434</v>
      </c>
      <c r="H17" s="13" t="s">
        <v>434</v>
      </c>
      <c r="J17" s="9"/>
    </row>
    <row r="18" spans="1:10" s="10" customFormat="1" ht="62.4" x14ac:dyDescent="0.3">
      <c r="A18" s="18" t="s">
        <v>363</v>
      </c>
      <c r="B18" s="80" t="s">
        <v>330</v>
      </c>
      <c r="C18" s="100">
        <f>C20+C19</f>
        <v>100000</v>
      </c>
      <c r="D18" s="100">
        <f t="shared" ref="D18:E18" si="10">D20+D19</f>
        <v>0</v>
      </c>
      <c r="E18" s="19">
        <f t="shared" si="10"/>
        <v>0</v>
      </c>
      <c r="F18" s="19">
        <f t="shared" si="1"/>
        <v>0</v>
      </c>
      <c r="G18" s="19" t="s">
        <v>434</v>
      </c>
      <c r="H18" s="19" t="s">
        <v>434</v>
      </c>
      <c r="J18" s="9"/>
    </row>
    <row r="19" spans="1:10" s="10" customFormat="1" ht="93.6" x14ac:dyDescent="0.3">
      <c r="A19" s="4" t="s">
        <v>421</v>
      </c>
      <c r="B19" s="82" t="s">
        <v>331</v>
      </c>
      <c r="C19" s="99">
        <v>0</v>
      </c>
      <c r="D19" s="99">
        <f t="shared" ref="D19:E20" si="11">100000-100000</f>
        <v>0</v>
      </c>
      <c r="E19" s="13">
        <f t="shared" si="11"/>
        <v>0</v>
      </c>
      <c r="F19" s="13">
        <f t="shared" si="1"/>
        <v>0</v>
      </c>
      <c r="G19" s="13" t="s">
        <v>434</v>
      </c>
      <c r="H19" s="13" t="s">
        <v>434</v>
      </c>
      <c r="J19" s="9"/>
    </row>
    <row r="20" spans="1:10" s="10" customFormat="1" ht="78" x14ac:dyDescent="0.3">
      <c r="A20" s="4" t="s">
        <v>324</v>
      </c>
      <c r="B20" s="82" t="s">
        <v>331</v>
      </c>
      <c r="C20" s="99">
        <f>100000</f>
        <v>100000</v>
      </c>
      <c r="D20" s="99">
        <f t="shared" si="11"/>
        <v>0</v>
      </c>
      <c r="E20" s="13">
        <f t="shared" si="11"/>
        <v>0</v>
      </c>
      <c r="F20" s="13">
        <f t="shared" si="1"/>
        <v>0</v>
      </c>
      <c r="G20" s="13" t="s">
        <v>434</v>
      </c>
      <c r="H20" s="13" t="s">
        <v>434</v>
      </c>
      <c r="J20" s="9"/>
    </row>
    <row r="21" spans="1:10" s="10" customFormat="1" ht="31.2" x14ac:dyDescent="0.3">
      <c r="A21" s="6" t="s">
        <v>364</v>
      </c>
      <c r="B21" s="80" t="s">
        <v>19</v>
      </c>
      <c r="C21" s="100">
        <f>C22+C27+C31+C38</f>
        <v>466819369.51999998</v>
      </c>
      <c r="D21" s="100">
        <f t="shared" ref="D21:E21" si="12">D22+D27+D31+D38</f>
        <v>431907270.62</v>
      </c>
      <c r="E21" s="19">
        <f t="shared" si="12"/>
        <v>332863672.54000002</v>
      </c>
      <c r="F21" s="19">
        <f t="shared" si="1"/>
        <v>99043598.079999998</v>
      </c>
      <c r="G21" s="19">
        <f t="shared" si="2"/>
        <v>71.3</v>
      </c>
      <c r="H21" s="19">
        <f t="shared" si="3"/>
        <v>77.069999999999993</v>
      </c>
      <c r="J21" s="9"/>
    </row>
    <row r="22" spans="1:10" s="10" customFormat="1" ht="31.2" x14ac:dyDescent="0.3">
      <c r="A22" s="22" t="s">
        <v>184</v>
      </c>
      <c r="B22" s="80" t="s">
        <v>181</v>
      </c>
      <c r="C22" s="100">
        <f>C23+C24+C25+C26</f>
        <v>385426225.98000002</v>
      </c>
      <c r="D22" s="100">
        <f t="shared" ref="D22:E22" si="13">D23+D24+D25+D26</f>
        <v>403853967.57999998</v>
      </c>
      <c r="E22" s="19">
        <f t="shared" si="13"/>
        <v>315548325.94999999</v>
      </c>
      <c r="F22" s="19">
        <f t="shared" si="1"/>
        <v>88305641.629999995</v>
      </c>
      <c r="G22" s="19">
        <f t="shared" si="2"/>
        <v>81.87</v>
      </c>
      <c r="H22" s="19">
        <f t="shared" si="3"/>
        <v>78.13</v>
      </c>
      <c r="J22" s="9"/>
    </row>
    <row r="23" spans="1:10" s="10" customFormat="1" ht="124.8" x14ac:dyDescent="0.3">
      <c r="A23" s="23" t="s">
        <v>162</v>
      </c>
      <c r="B23" s="81" t="s">
        <v>116</v>
      </c>
      <c r="C23" s="99">
        <f>23049000</f>
        <v>23049000</v>
      </c>
      <c r="D23" s="99">
        <f t="shared" ref="D23" si="14">23049000-4797000</f>
        <v>18252000</v>
      </c>
      <c r="E23" s="13">
        <v>18135911.030000001</v>
      </c>
      <c r="F23" s="13">
        <f t="shared" si="1"/>
        <v>116088.97</v>
      </c>
      <c r="G23" s="13">
        <f t="shared" si="2"/>
        <v>78.680000000000007</v>
      </c>
      <c r="H23" s="13">
        <f t="shared" si="3"/>
        <v>99.36</v>
      </c>
      <c r="J23" s="9"/>
    </row>
    <row r="24" spans="1:10" s="10" customFormat="1" ht="31.2" x14ac:dyDescent="0.3">
      <c r="A24" s="4" t="s">
        <v>41</v>
      </c>
      <c r="B24" s="81" t="s">
        <v>104</v>
      </c>
      <c r="C24" s="99">
        <v>148390716.28</v>
      </c>
      <c r="D24" s="99">
        <v>148390716.28</v>
      </c>
      <c r="E24" s="13">
        <v>103292587.16</v>
      </c>
      <c r="F24" s="13">
        <f t="shared" si="1"/>
        <v>45098129.119999997</v>
      </c>
      <c r="G24" s="13">
        <f t="shared" si="2"/>
        <v>69.61</v>
      </c>
      <c r="H24" s="13">
        <f t="shared" si="3"/>
        <v>69.61</v>
      </c>
      <c r="J24" s="9"/>
    </row>
    <row r="25" spans="1:10" s="10" customFormat="1" ht="78" x14ac:dyDescent="0.3">
      <c r="A25" s="4" t="s">
        <v>43</v>
      </c>
      <c r="B25" s="81" t="s">
        <v>105</v>
      </c>
      <c r="C25" s="99">
        <f>10097827.7</f>
        <v>10097827.699999999</v>
      </c>
      <c r="D25" s="99">
        <f t="shared" ref="D25" si="15">10097827.7+17684530+5540211.6</f>
        <v>33322569.300000001</v>
      </c>
      <c r="E25" s="13">
        <v>33255436.870000001</v>
      </c>
      <c r="F25" s="13">
        <f t="shared" si="1"/>
        <v>67132.429999999993</v>
      </c>
      <c r="G25" s="13">
        <f t="shared" si="2"/>
        <v>329.33</v>
      </c>
      <c r="H25" s="13">
        <f t="shared" si="3"/>
        <v>99.8</v>
      </c>
      <c r="J25" s="9"/>
    </row>
    <row r="26" spans="1:10" s="10" customFormat="1" ht="93.6" x14ac:dyDescent="0.3">
      <c r="A26" s="24" t="s">
        <v>148</v>
      </c>
      <c r="B26" s="81" t="s">
        <v>106</v>
      </c>
      <c r="C26" s="101">
        <v>203888682</v>
      </c>
      <c r="D26" s="101">
        <v>203888682</v>
      </c>
      <c r="E26" s="20">
        <v>160864390.88999999</v>
      </c>
      <c r="F26" s="20">
        <f t="shared" si="1"/>
        <v>43024291.109999999</v>
      </c>
      <c r="G26" s="20">
        <f t="shared" si="2"/>
        <v>78.900000000000006</v>
      </c>
      <c r="H26" s="20">
        <f t="shared" si="3"/>
        <v>78.900000000000006</v>
      </c>
      <c r="J26" s="9"/>
    </row>
    <row r="27" spans="1:10" s="10" customFormat="1" ht="31.2" x14ac:dyDescent="0.3">
      <c r="A27" s="18" t="s">
        <v>183</v>
      </c>
      <c r="B27" s="80" t="s">
        <v>182</v>
      </c>
      <c r="C27" s="100">
        <f>C28+C29+C30</f>
        <v>23260100</v>
      </c>
      <c r="D27" s="100">
        <f t="shared" ref="D27:E27" si="16">D28+D29+D30</f>
        <v>25023000</v>
      </c>
      <c r="E27" s="19">
        <f t="shared" si="16"/>
        <v>14665157.32</v>
      </c>
      <c r="F27" s="19">
        <f t="shared" si="1"/>
        <v>10357842.68</v>
      </c>
      <c r="G27" s="19">
        <f t="shared" si="2"/>
        <v>63.05</v>
      </c>
      <c r="H27" s="19">
        <f t="shared" si="3"/>
        <v>58.61</v>
      </c>
      <c r="J27" s="9"/>
    </row>
    <row r="28" spans="1:10" s="10" customFormat="1" ht="31.2" x14ac:dyDescent="0.3">
      <c r="A28" s="4" t="s">
        <v>188</v>
      </c>
      <c r="B28" s="83" t="s">
        <v>187</v>
      </c>
      <c r="C28" s="101">
        <v>475000</v>
      </c>
      <c r="D28" s="101">
        <v>475000</v>
      </c>
      <c r="E28" s="20">
        <v>338350</v>
      </c>
      <c r="F28" s="20">
        <f t="shared" si="1"/>
        <v>136650</v>
      </c>
      <c r="G28" s="20">
        <f t="shared" si="2"/>
        <v>71.23</v>
      </c>
      <c r="H28" s="20">
        <f t="shared" si="3"/>
        <v>71.23</v>
      </c>
      <c r="J28" s="9"/>
    </row>
    <row r="29" spans="1:10" s="10" customFormat="1" ht="62.4" x14ac:dyDescent="0.3">
      <c r="A29" s="4" t="s">
        <v>151</v>
      </c>
      <c r="B29" s="83" t="s">
        <v>185</v>
      </c>
      <c r="C29" s="101">
        <v>6673350</v>
      </c>
      <c r="D29" s="101">
        <v>6673350</v>
      </c>
      <c r="E29" s="20">
        <v>4341467.32</v>
      </c>
      <c r="F29" s="20">
        <f t="shared" si="1"/>
        <v>2331882.6800000002</v>
      </c>
      <c r="G29" s="20">
        <f t="shared" si="2"/>
        <v>65.06</v>
      </c>
      <c r="H29" s="20">
        <f t="shared" si="3"/>
        <v>65.06</v>
      </c>
      <c r="J29" s="9"/>
    </row>
    <row r="30" spans="1:10" s="10" customFormat="1" ht="62.4" x14ac:dyDescent="0.3">
      <c r="A30" s="23" t="s">
        <v>153</v>
      </c>
      <c r="B30" s="83" t="s">
        <v>186</v>
      </c>
      <c r="C30" s="101">
        <f>16111750</f>
        <v>16111750</v>
      </c>
      <c r="D30" s="101">
        <f t="shared" ref="D30" si="17">16111750+1762900</f>
        <v>17874650</v>
      </c>
      <c r="E30" s="20">
        <v>9985340</v>
      </c>
      <c r="F30" s="20">
        <f t="shared" si="1"/>
        <v>7889310</v>
      </c>
      <c r="G30" s="20">
        <f t="shared" si="2"/>
        <v>61.98</v>
      </c>
      <c r="H30" s="20">
        <f t="shared" si="3"/>
        <v>55.86</v>
      </c>
      <c r="J30" s="9"/>
    </row>
    <row r="31" spans="1:10" s="10" customFormat="1" ht="78" x14ac:dyDescent="0.3">
      <c r="A31" s="6" t="s">
        <v>189</v>
      </c>
      <c r="B31" s="80" t="s">
        <v>190</v>
      </c>
      <c r="C31" s="100">
        <f>C36+C37+C32+C33+C34+C35</f>
        <v>57983043.539999999</v>
      </c>
      <c r="D31" s="100">
        <f t="shared" ref="D31:E31" si="18">D36+D37+D32+D33+D34+D35</f>
        <v>3030303.04</v>
      </c>
      <c r="E31" s="19">
        <f t="shared" si="18"/>
        <v>2650189.27</v>
      </c>
      <c r="F31" s="19">
        <f t="shared" si="1"/>
        <v>380113.77</v>
      </c>
      <c r="G31" s="19">
        <f t="shared" si="2"/>
        <v>4.57</v>
      </c>
      <c r="H31" s="19">
        <f t="shared" si="3"/>
        <v>87.46</v>
      </c>
      <c r="J31" s="9"/>
    </row>
    <row r="32" spans="1:10" s="10" customFormat="1" ht="46.8" x14ac:dyDescent="0.3">
      <c r="A32" s="12" t="s">
        <v>407</v>
      </c>
      <c r="B32" s="78" t="s">
        <v>405</v>
      </c>
      <c r="C32" s="99">
        <v>0</v>
      </c>
      <c r="D32" s="99">
        <v>1500000</v>
      </c>
      <c r="E32" s="13">
        <v>1192499.3799999999</v>
      </c>
      <c r="F32" s="13">
        <f t="shared" si="1"/>
        <v>307500.62</v>
      </c>
      <c r="G32" s="13" t="s">
        <v>434</v>
      </c>
      <c r="H32" s="13">
        <f t="shared" si="3"/>
        <v>79.5</v>
      </c>
      <c r="J32" s="9"/>
    </row>
    <row r="33" spans="1:10" s="10" customFormat="1" ht="62.4" x14ac:dyDescent="0.3">
      <c r="A33" s="12" t="s">
        <v>408</v>
      </c>
      <c r="B33" s="78" t="s">
        <v>405</v>
      </c>
      <c r="C33" s="99">
        <v>0</v>
      </c>
      <c r="D33" s="99">
        <v>15151.52</v>
      </c>
      <c r="E33" s="13">
        <v>12045.46</v>
      </c>
      <c r="F33" s="13">
        <f t="shared" si="1"/>
        <v>3106.06</v>
      </c>
      <c r="G33" s="13" t="s">
        <v>434</v>
      </c>
      <c r="H33" s="13">
        <f t="shared" si="3"/>
        <v>79.5</v>
      </c>
      <c r="J33" s="9"/>
    </row>
    <row r="34" spans="1:10" s="10" customFormat="1" ht="46.8" x14ac:dyDescent="0.3">
      <c r="A34" s="12" t="s">
        <v>409</v>
      </c>
      <c r="B34" s="78" t="s">
        <v>406</v>
      </c>
      <c r="C34" s="99">
        <v>0</v>
      </c>
      <c r="D34" s="99">
        <v>1284506.49</v>
      </c>
      <c r="E34" s="13">
        <v>1214999.3999999999</v>
      </c>
      <c r="F34" s="13">
        <f t="shared" si="1"/>
        <v>69507.09</v>
      </c>
      <c r="G34" s="13" t="s">
        <v>434</v>
      </c>
      <c r="H34" s="13">
        <f t="shared" si="3"/>
        <v>94.59</v>
      </c>
      <c r="J34" s="9"/>
    </row>
    <row r="35" spans="1:10" s="10" customFormat="1" ht="62.4" x14ac:dyDescent="0.3">
      <c r="A35" s="12" t="s">
        <v>410</v>
      </c>
      <c r="B35" s="78" t="s">
        <v>406</v>
      </c>
      <c r="C35" s="99">
        <v>0</v>
      </c>
      <c r="D35" s="99">
        <v>230645.03</v>
      </c>
      <c r="E35" s="13">
        <v>230645.03</v>
      </c>
      <c r="F35" s="13">
        <f t="shared" si="1"/>
        <v>0</v>
      </c>
      <c r="G35" s="13" t="s">
        <v>434</v>
      </c>
      <c r="H35" s="13">
        <f t="shared" si="3"/>
        <v>100</v>
      </c>
      <c r="J35" s="9"/>
    </row>
    <row r="36" spans="1:10" s="10" customFormat="1" ht="31.2" x14ac:dyDescent="0.3">
      <c r="A36" s="23" t="s">
        <v>125</v>
      </c>
      <c r="B36" s="84" t="s">
        <v>191</v>
      </c>
      <c r="C36" s="101">
        <f>55083891.36</f>
        <v>55083891.359999999</v>
      </c>
      <c r="D36" s="101">
        <f t="shared" ref="D36:E36" si="19">55083891.36-55083891.36</f>
        <v>0</v>
      </c>
      <c r="E36" s="20">
        <f t="shared" si="19"/>
        <v>0</v>
      </c>
      <c r="F36" s="20">
        <f t="shared" si="1"/>
        <v>0</v>
      </c>
      <c r="G36" s="20">
        <f t="shared" si="2"/>
        <v>0</v>
      </c>
      <c r="H36" s="20" t="s">
        <v>434</v>
      </c>
      <c r="J36" s="9"/>
    </row>
    <row r="37" spans="1:10" s="10" customFormat="1" ht="31.2" x14ac:dyDescent="0.3">
      <c r="A37" s="23" t="s">
        <v>126</v>
      </c>
      <c r="B37" s="84" t="s">
        <v>191</v>
      </c>
      <c r="C37" s="101">
        <f>2899152.18</f>
        <v>2899152.18</v>
      </c>
      <c r="D37" s="101">
        <f t="shared" ref="D37:E37" si="20">2899152.18-2899152.18</f>
        <v>0</v>
      </c>
      <c r="E37" s="20">
        <f t="shared" si="20"/>
        <v>0</v>
      </c>
      <c r="F37" s="20">
        <f t="shared" si="1"/>
        <v>0</v>
      </c>
      <c r="G37" s="20">
        <f t="shared" si="2"/>
        <v>0</v>
      </c>
      <c r="H37" s="20" t="s">
        <v>434</v>
      </c>
      <c r="J37" s="9"/>
    </row>
    <row r="38" spans="1:10" s="10" customFormat="1" ht="62.4" x14ac:dyDescent="0.3">
      <c r="A38" s="18" t="s">
        <v>358</v>
      </c>
      <c r="B38" s="80" t="s">
        <v>325</v>
      </c>
      <c r="C38" s="100">
        <f>+C39+C40</f>
        <v>150000</v>
      </c>
      <c r="D38" s="100">
        <f t="shared" ref="D38:E38" si="21">+D39+D40</f>
        <v>0</v>
      </c>
      <c r="E38" s="19">
        <f t="shared" si="21"/>
        <v>0</v>
      </c>
      <c r="F38" s="19">
        <f t="shared" si="1"/>
        <v>0</v>
      </c>
      <c r="G38" s="19">
        <f t="shared" si="2"/>
        <v>0</v>
      </c>
      <c r="H38" s="19" t="s">
        <v>434</v>
      </c>
      <c r="J38" s="9"/>
    </row>
    <row r="39" spans="1:10" s="10" customFormat="1" ht="93.6" x14ac:dyDescent="0.3">
      <c r="A39" s="4" t="s">
        <v>422</v>
      </c>
      <c r="B39" s="82" t="s">
        <v>327</v>
      </c>
      <c r="C39" s="99">
        <v>0</v>
      </c>
      <c r="D39" s="99">
        <f t="shared" ref="D39:E40" si="22">150000-150000</f>
        <v>0</v>
      </c>
      <c r="E39" s="13">
        <f t="shared" si="22"/>
        <v>0</v>
      </c>
      <c r="F39" s="13">
        <f t="shared" si="1"/>
        <v>0</v>
      </c>
      <c r="G39" s="13" t="s">
        <v>434</v>
      </c>
      <c r="H39" s="13" t="s">
        <v>434</v>
      </c>
      <c r="J39" s="9"/>
    </row>
    <row r="40" spans="1:10" s="10" customFormat="1" ht="78" x14ac:dyDescent="0.3">
      <c r="A40" s="4" t="s">
        <v>326</v>
      </c>
      <c r="B40" s="82" t="s">
        <v>327</v>
      </c>
      <c r="C40" s="99">
        <f>150000</f>
        <v>150000</v>
      </c>
      <c r="D40" s="99">
        <f t="shared" si="22"/>
        <v>0</v>
      </c>
      <c r="E40" s="13">
        <f t="shared" si="22"/>
        <v>0</v>
      </c>
      <c r="F40" s="13">
        <f t="shared" si="1"/>
        <v>0</v>
      </c>
      <c r="G40" s="13">
        <f t="shared" si="2"/>
        <v>0</v>
      </c>
      <c r="H40" s="13" t="s">
        <v>434</v>
      </c>
      <c r="J40" s="9"/>
    </row>
    <row r="41" spans="1:10" s="10" customFormat="1" ht="62.4" x14ac:dyDescent="0.3">
      <c r="A41" s="16" t="s">
        <v>365</v>
      </c>
      <c r="B41" s="79" t="s">
        <v>1</v>
      </c>
      <c r="C41" s="98">
        <f>C42+C44+C47</f>
        <v>17181355</v>
      </c>
      <c r="D41" s="98">
        <f t="shared" ref="D41:E41" si="23">D42+D44+D47</f>
        <v>16897113</v>
      </c>
      <c r="E41" s="7">
        <f t="shared" si="23"/>
        <v>12244217.9</v>
      </c>
      <c r="F41" s="7">
        <f t="shared" si="1"/>
        <v>4652895.0999999996</v>
      </c>
      <c r="G41" s="7">
        <f t="shared" si="2"/>
        <v>71.260000000000005</v>
      </c>
      <c r="H41" s="7">
        <f t="shared" si="3"/>
        <v>72.459999999999994</v>
      </c>
      <c r="J41" s="9"/>
    </row>
    <row r="42" spans="1:10" s="10" customFormat="1" ht="31.2" x14ac:dyDescent="0.3">
      <c r="A42" s="25" t="s">
        <v>193</v>
      </c>
      <c r="B42" s="79" t="s">
        <v>165</v>
      </c>
      <c r="C42" s="98">
        <f>C43</f>
        <v>11512930</v>
      </c>
      <c r="D42" s="98">
        <f t="shared" ref="D42:E42" si="24">D43</f>
        <v>10928688</v>
      </c>
      <c r="E42" s="7">
        <f t="shared" si="24"/>
        <v>7118914.3799999999</v>
      </c>
      <c r="F42" s="7">
        <f t="shared" si="1"/>
        <v>3809773.62</v>
      </c>
      <c r="G42" s="7">
        <f t="shared" si="2"/>
        <v>61.83</v>
      </c>
      <c r="H42" s="7">
        <f t="shared" si="3"/>
        <v>65.14</v>
      </c>
      <c r="J42" s="9"/>
    </row>
    <row r="43" spans="1:10" s="10" customFormat="1" ht="31.2" x14ac:dyDescent="0.3">
      <c r="A43" s="4" t="s">
        <v>166</v>
      </c>
      <c r="B43" s="85" t="s">
        <v>123</v>
      </c>
      <c r="C43" s="99">
        <f>11512930</f>
        <v>11512930</v>
      </c>
      <c r="D43" s="99">
        <f t="shared" ref="D43" si="25">11512930+80000+780000-1444242</f>
        <v>10928688</v>
      </c>
      <c r="E43" s="13">
        <v>7118914.3799999999</v>
      </c>
      <c r="F43" s="13">
        <f t="shared" si="1"/>
        <v>3809773.62</v>
      </c>
      <c r="G43" s="13">
        <f t="shared" si="2"/>
        <v>61.83</v>
      </c>
      <c r="H43" s="13">
        <f t="shared" si="3"/>
        <v>65.14</v>
      </c>
      <c r="J43" s="9"/>
    </row>
    <row r="44" spans="1:10" s="10" customFormat="1" ht="46.8" x14ac:dyDescent="0.3">
      <c r="A44" s="16" t="s">
        <v>195</v>
      </c>
      <c r="B44" s="79" t="s">
        <v>194</v>
      </c>
      <c r="C44" s="98">
        <f>C45+C46</f>
        <v>5063425</v>
      </c>
      <c r="D44" s="98">
        <f t="shared" ref="D44:E44" si="26">D45+D46</f>
        <v>5363425</v>
      </c>
      <c r="E44" s="7">
        <f t="shared" si="26"/>
        <v>4880302.22</v>
      </c>
      <c r="F44" s="7">
        <f t="shared" si="1"/>
        <v>483122.78</v>
      </c>
      <c r="G44" s="7">
        <f t="shared" si="2"/>
        <v>96.38</v>
      </c>
      <c r="H44" s="7">
        <f t="shared" si="3"/>
        <v>90.99</v>
      </c>
      <c r="J44" s="9"/>
    </row>
    <row r="45" spans="1:10" s="10" customFormat="1" ht="46.8" x14ac:dyDescent="0.3">
      <c r="A45" s="26" t="s">
        <v>197</v>
      </c>
      <c r="B45" s="81" t="s">
        <v>196</v>
      </c>
      <c r="C45" s="99">
        <f>2529500</f>
        <v>2529500</v>
      </c>
      <c r="D45" s="99">
        <f t="shared" ref="D45" si="27">2529500+300000</f>
        <v>2829500</v>
      </c>
      <c r="E45" s="13">
        <v>2400377.2200000002</v>
      </c>
      <c r="F45" s="13">
        <f t="shared" si="1"/>
        <v>429122.78</v>
      </c>
      <c r="G45" s="13">
        <f t="shared" si="2"/>
        <v>94.9</v>
      </c>
      <c r="H45" s="13">
        <f t="shared" si="3"/>
        <v>84.83</v>
      </c>
      <c r="J45" s="9"/>
    </row>
    <row r="46" spans="1:10" s="10" customFormat="1" ht="46.8" x14ac:dyDescent="0.3">
      <c r="A46" s="23" t="s">
        <v>150</v>
      </c>
      <c r="B46" s="81" t="s">
        <v>20</v>
      </c>
      <c r="C46" s="101">
        <v>2533925</v>
      </c>
      <c r="D46" s="101">
        <v>2533925</v>
      </c>
      <c r="E46" s="20">
        <v>2479925</v>
      </c>
      <c r="F46" s="20">
        <f t="shared" si="1"/>
        <v>54000</v>
      </c>
      <c r="G46" s="20">
        <f t="shared" si="2"/>
        <v>97.87</v>
      </c>
      <c r="H46" s="20">
        <f t="shared" si="3"/>
        <v>97.87</v>
      </c>
      <c r="J46" s="9"/>
    </row>
    <row r="47" spans="1:10" s="10" customFormat="1" ht="62.4" x14ac:dyDescent="0.3">
      <c r="A47" s="16" t="s">
        <v>366</v>
      </c>
      <c r="B47" s="79" t="s">
        <v>288</v>
      </c>
      <c r="C47" s="98">
        <f>C48</f>
        <v>605000</v>
      </c>
      <c r="D47" s="98">
        <f t="shared" ref="D47:E47" si="28">D48</f>
        <v>605000</v>
      </c>
      <c r="E47" s="7">
        <f t="shared" si="28"/>
        <v>245001.3</v>
      </c>
      <c r="F47" s="7">
        <f t="shared" si="1"/>
        <v>359998.7</v>
      </c>
      <c r="G47" s="7">
        <f t="shared" si="2"/>
        <v>40.5</v>
      </c>
      <c r="H47" s="7">
        <f t="shared" si="3"/>
        <v>40.5</v>
      </c>
      <c r="J47" s="9"/>
    </row>
    <row r="48" spans="1:10" s="10" customFormat="1" ht="15.6" x14ac:dyDescent="0.3">
      <c r="A48" s="4" t="s">
        <v>37</v>
      </c>
      <c r="B48" s="78" t="s">
        <v>287</v>
      </c>
      <c r="C48" s="101">
        <v>605000</v>
      </c>
      <c r="D48" s="101">
        <v>605000</v>
      </c>
      <c r="E48" s="20">
        <v>245001.3</v>
      </c>
      <c r="F48" s="20">
        <f t="shared" si="1"/>
        <v>359998.7</v>
      </c>
      <c r="G48" s="20">
        <f t="shared" si="2"/>
        <v>40.5</v>
      </c>
      <c r="H48" s="20">
        <f t="shared" si="3"/>
        <v>40.5</v>
      </c>
      <c r="J48" s="9"/>
    </row>
    <row r="49" spans="1:10" s="10" customFormat="1" ht="31.2" x14ac:dyDescent="0.3">
      <c r="A49" s="6" t="s">
        <v>198</v>
      </c>
      <c r="B49" s="80" t="s">
        <v>21</v>
      </c>
      <c r="C49" s="100">
        <f>C50+C52</f>
        <v>40873534.689999998</v>
      </c>
      <c r="D49" s="100">
        <f t="shared" ref="D49:E49" si="29">D50+D52</f>
        <v>47026020.710000001</v>
      </c>
      <c r="E49" s="19">
        <f t="shared" si="29"/>
        <v>31002703.859999999</v>
      </c>
      <c r="F49" s="19">
        <f t="shared" si="1"/>
        <v>16023316.85</v>
      </c>
      <c r="G49" s="19">
        <f t="shared" si="2"/>
        <v>75.849999999999994</v>
      </c>
      <c r="H49" s="19">
        <f t="shared" si="3"/>
        <v>65.930000000000007</v>
      </c>
      <c r="J49" s="9"/>
    </row>
    <row r="50" spans="1:10" s="10" customFormat="1" ht="46.8" x14ac:dyDescent="0.3">
      <c r="A50" s="25" t="s">
        <v>338</v>
      </c>
      <c r="B50" s="79" t="s">
        <v>199</v>
      </c>
      <c r="C50" s="98">
        <f>C51</f>
        <v>39138334.689999998</v>
      </c>
      <c r="D50" s="98">
        <f t="shared" ref="D50:E50" si="30">D51</f>
        <v>45290820.710000001</v>
      </c>
      <c r="E50" s="7">
        <f t="shared" si="30"/>
        <v>30804703.859999999</v>
      </c>
      <c r="F50" s="7">
        <f t="shared" si="1"/>
        <v>14486116.85</v>
      </c>
      <c r="G50" s="7">
        <f t="shared" si="2"/>
        <v>78.709999999999994</v>
      </c>
      <c r="H50" s="7">
        <f t="shared" si="3"/>
        <v>68.02</v>
      </c>
      <c r="J50" s="9"/>
    </row>
    <row r="51" spans="1:10" s="10" customFormat="1" ht="31.2" x14ac:dyDescent="0.3">
      <c r="A51" s="4" t="s">
        <v>41</v>
      </c>
      <c r="B51" s="81" t="s">
        <v>22</v>
      </c>
      <c r="C51" s="101">
        <f>39138334.69</f>
        <v>39138334.689999998</v>
      </c>
      <c r="D51" s="101">
        <f t="shared" ref="D51" si="31">39138334.69+349266+5733751.12+50960.17+18508.73</f>
        <v>45290820.710000001</v>
      </c>
      <c r="E51" s="20">
        <v>30804703.859999999</v>
      </c>
      <c r="F51" s="20">
        <f t="shared" si="1"/>
        <v>14486116.85</v>
      </c>
      <c r="G51" s="20">
        <f t="shared" si="2"/>
        <v>78.709999999999994</v>
      </c>
      <c r="H51" s="20">
        <f t="shared" si="3"/>
        <v>68.02</v>
      </c>
      <c r="J51" s="9"/>
    </row>
    <row r="52" spans="1:10" s="10" customFormat="1" ht="46.8" x14ac:dyDescent="0.3">
      <c r="A52" s="25" t="s">
        <v>201</v>
      </c>
      <c r="B52" s="79" t="s">
        <v>200</v>
      </c>
      <c r="C52" s="98">
        <f>C53+C54+C55</f>
        <v>1735200</v>
      </c>
      <c r="D52" s="98">
        <f t="shared" ref="D52:E52" si="32">D53+D54+D55</f>
        <v>1735200</v>
      </c>
      <c r="E52" s="7">
        <f t="shared" si="32"/>
        <v>198000</v>
      </c>
      <c r="F52" s="7">
        <f t="shared" si="1"/>
        <v>1537200</v>
      </c>
      <c r="G52" s="7">
        <f t="shared" si="2"/>
        <v>11.41</v>
      </c>
      <c r="H52" s="7">
        <f t="shared" si="3"/>
        <v>11.41</v>
      </c>
      <c r="J52" s="9"/>
    </row>
    <row r="53" spans="1:10" s="10" customFormat="1" ht="46.8" x14ac:dyDescent="0.3">
      <c r="A53" s="23" t="s">
        <v>373</v>
      </c>
      <c r="B53" s="83" t="s">
        <v>371</v>
      </c>
      <c r="C53" s="101">
        <v>874200</v>
      </c>
      <c r="D53" s="101">
        <v>874200</v>
      </c>
      <c r="E53" s="20">
        <v>150000</v>
      </c>
      <c r="F53" s="20">
        <f t="shared" si="1"/>
        <v>724200</v>
      </c>
      <c r="G53" s="20">
        <f t="shared" si="2"/>
        <v>17.16</v>
      </c>
      <c r="H53" s="20">
        <f t="shared" si="3"/>
        <v>17.16</v>
      </c>
      <c r="J53" s="9"/>
    </row>
    <row r="54" spans="1:10" s="10" customFormat="1" ht="15.6" x14ac:dyDescent="0.3">
      <c r="A54" s="4" t="s">
        <v>90</v>
      </c>
      <c r="B54" s="81" t="s">
        <v>206</v>
      </c>
      <c r="C54" s="99">
        <v>96000</v>
      </c>
      <c r="D54" s="99">
        <v>96000</v>
      </c>
      <c r="E54" s="13">
        <v>48000</v>
      </c>
      <c r="F54" s="13">
        <f t="shared" si="1"/>
        <v>48000</v>
      </c>
      <c r="G54" s="13">
        <f t="shared" si="2"/>
        <v>50</v>
      </c>
      <c r="H54" s="13">
        <f t="shared" si="3"/>
        <v>50</v>
      </c>
      <c r="J54" s="9"/>
    </row>
    <row r="55" spans="1:10" s="10" customFormat="1" ht="31.2" x14ac:dyDescent="0.3">
      <c r="A55" s="4" t="s">
        <v>285</v>
      </c>
      <c r="B55" s="81" t="s">
        <v>284</v>
      </c>
      <c r="C55" s="99">
        <v>765000</v>
      </c>
      <c r="D55" s="99">
        <v>765000</v>
      </c>
      <c r="E55" s="13">
        <v>0</v>
      </c>
      <c r="F55" s="13">
        <f t="shared" si="1"/>
        <v>765000</v>
      </c>
      <c r="G55" s="13">
        <f t="shared" si="2"/>
        <v>0</v>
      </c>
      <c r="H55" s="13">
        <f t="shared" si="3"/>
        <v>0</v>
      </c>
      <c r="J55" s="9"/>
    </row>
    <row r="56" spans="1:10" s="10" customFormat="1" ht="15.6" x14ac:dyDescent="0.3">
      <c r="A56" s="16" t="s">
        <v>367</v>
      </c>
      <c r="B56" s="79" t="s">
        <v>70</v>
      </c>
      <c r="C56" s="98">
        <f>C57+C59</f>
        <v>5627240.0999999996</v>
      </c>
      <c r="D56" s="98">
        <f t="shared" ref="D56:E56" si="33">D57+D59</f>
        <v>5171956.8</v>
      </c>
      <c r="E56" s="7">
        <f t="shared" si="33"/>
        <v>2728279.13</v>
      </c>
      <c r="F56" s="7">
        <f t="shared" si="1"/>
        <v>2443677.67</v>
      </c>
      <c r="G56" s="7">
        <f t="shared" si="2"/>
        <v>48.48</v>
      </c>
      <c r="H56" s="7">
        <f t="shared" si="3"/>
        <v>52.75</v>
      </c>
      <c r="J56" s="9"/>
    </row>
    <row r="57" spans="1:10" s="10" customFormat="1" ht="46.8" x14ac:dyDescent="0.3">
      <c r="A57" s="27" t="s">
        <v>192</v>
      </c>
      <c r="B57" s="86" t="s">
        <v>328</v>
      </c>
      <c r="C57" s="100">
        <f>C58</f>
        <v>2597240.1</v>
      </c>
      <c r="D57" s="100">
        <f t="shared" ref="D57:E57" si="34">D58</f>
        <v>2141956.7999999998</v>
      </c>
      <c r="E57" s="19">
        <f t="shared" si="34"/>
        <v>1828279.13</v>
      </c>
      <c r="F57" s="19">
        <f t="shared" si="1"/>
        <v>313677.67</v>
      </c>
      <c r="G57" s="19">
        <f t="shared" si="2"/>
        <v>70.39</v>
      </c>
      <c r="H57" s="19">
        <f t="shared" si="3"/>
        <v>85.36</v>
      </c>
      <c r="J57" s="9"/>
    </row>
    <row r="58" spans="1:10" s="10" customFormat="1" ht="62.4" x14ac:dyDescent="0.3">
      <c r="A58" s="28" t="s">
        <v>161</v>
      </c>
      <c r="B58" s="87" t="s">
        <v>329</v>
      </c>
      <c r="C58" s="101">
        <f>2597240.1</f>
        <v>2597240.1</v>
      </c>
      <c r="D58" s="101">
        <f t="shared" ref="D58" si="35">2597240.1-60097.62-395185.68</f>
        <v>2141956.7999999998</v>
      </c>
      <c r="E58" s="20">
        <v>1828279.13</v>
      </c>
      <c r="F58" s="20">
        <f t="shared" si="1"/>
        <v>313677.67</v>
      </c>
      <c r="G58" s="20">
        <f t="shared" si="2"/>
        <v>70.39</v>
      </c>
      <c r="H58" s="20">
        <f t="shared" si="3"/>
        <v>85.36</v>
      </c>
      <c r="J58" s="9"/>
    </row>
    <row r="59" spans="1:10" s="10" customFormat="1" ht="15.6" x14ac:dyDescent="0.3">
      <c r="A59" s="16" t="s">
        <v>160</v>
      </c>
      <c r="B59" s="79" t="s">
        <v>82</v>
      </c>
      <c r="C59" s="98">
        <f>C60</f>
        <v>3030000</v>
      </c>
      <c r="D59" s="98">
        <f t="shared" ref="D59:E59" si="36">D60</f>
        <v>3030000</v>
      </c>
      <c r="E59" s="7">
        <f t="shared" si="36"/>
        <v>900000</v>
      </c>
      <c r="F59" s="7">
        <f t="shared" si="1"/>
        <v>2130000</v>
      </c>
      <c r="G59" s="7">
        <f t="shared" si="2"/>
        <v>29.7</v>
      </c>
      <c r="H59" s="7">
        <f t="shared" si="3"/>
        <v>29.7</v>
      </c>
      <c r="J59" s="9"/>
    </row>
    <row r="60" spans="1:10" s="10" customFormat="1" ht="93.6" x14ac:dyDescent="0.3">
      <c r="A60" s="23" t="s">
        <v>80</v>
      </c>
      <c r="B60" s="82" t="s">
        <v>121</v>
      </c>
      <c r="C60" s="99">
        <v>3030000</v>
      </c>
      <c r="D60" s="99">
        <v>3030000</v>
      </c>
      <c r="E60" s="13">
        <v>900000</v>
      </c>
      <c r="F60" s="13">
        <f t="shared" si="1"/>
        <v>2130000</v>
      </c>
      <c r="G60" s="13">
        <f t="shared" si="2"/>
        <v>29.7</v>
      </c>
      <c r="H60" s="13">
        <f t="shared" si="3"/>
        <v>29.7</v>
      </c>
      <c r="J60" s="9"/>
    </row>
    <row r="61" spans="1:10" s="10" customFormat="1" ht="46.8" x14ac:dyDescent="0.3">
      <c r="A61" s="25" t="s">
        <v>202</v>
      </c>
      <c r="B61" s="88" t="s">
        <v>5</v>
      </c>
      <c r="C61" s="98">
        <f>C62+C67+C73</f>
        <v>23938051.969999999</v>
      </c>
      <c r="D61" s="98">
        <f t="shared" ref="D61:E61" si="37">D62+D67+D73</f>
        <v>24226051.969999999</v>
      </c>
      <c r="E61" s="7">
        <f t="shared" si="37"/>
        <v>11013735.199999999</v>
      </c>
      <c r="F61" s="7">
        <f t="shared" si="1"/>
        <v>13212316.77</v>
      </c>
      <c r="G61" s="7">
        <f t="shared" si="2"/>
        <v>46.01</v>
      </c>
      <c r="H61" s="7">
        <f t="shared" si="3"/>
        <v>45.46</v>
      </c>
      <c r="J61" s="9"/>
    </row>
    <row r="62" spans="1:10" s="10" customFormat="1" ht="15.6" x14ac:dyDescent="0.3">
      <c r="A62" s="27" t="s">
        <v>23</v>
      </c>
      <c r="B62" s="80" t="s">
        <v>203</v>
      </c>
      <c r="C62" s="100">
        <f>C63+C65</f>
        <v>19410051.969999999</v>
      </c>
      <c r="D62" s="100">
        <f t="shared" ref="D62:E62" si="38">D63+D65</f>
        <v>19410051.969999999</v>
      </c>
      <c r="E62" s="19">
        <f t="shared" si="38"/>
        <v>8817242.5299999993</v>
      </c>
      <c r="F62" s="19">
        <f t="shared" si="1"/>
        <v>10592809.439999999</v>
      </c>
      <c r="G62" s="19">
        <f t="shared" si="2"/>
        <v>45.43</v>
      </c>
      <c r="H62" s="19">
        <f t="shared" si="3"/>
        <v>45.43</v>
      </c>
      <c r="J62" s="9"/>
    </row>
    <row r="63" spans="1:10" s="10" customFormat="1" ht="46.8" x14ac:dyDescent="0.3">
      <c r="A63" s="6" t="s">
        <v>244</v>
      </c>
      <c r="B63" s="80" t="s">
        <v>204</v>
      </c>
      <c r="C63" s="98">
        <f>C64</f>
        <v>13962739.970000001</v>
      </c>
      <c r="D63" s="98">
        <f t="shared" ref="D63:E63" si="39">D64</f>
        <v>13962739.970000001</v>
      </c>
      <c r="E63" s="7">
        <f t="shared" si="39"/>
        <v>6373023.9000000004</v>
      </c>
      <c r="F63" s="7">
        <f t="shared" si="1"/>
        <v>7589716.0700000003</v>
      </c>
      <c r="G63" s="7">
        <f t="shared" si="2"/>
        <v>45.64</v>
      </c>
      <c r="H63" s="7">
        <f t="shared" si="3"/>
        <v>45.64</v>
      </c>
      <c r="J63" s="9"/>
    </row>
    <row r="64" spans="1:10" s="10" customFormat="1" ht="78" x14ac:dyDescent="0.3">
      <c r="A64" s="23" t="s">
        <v>114</v>
      </c>
      <c r="B64" s="82" t="s">
        <v>343</v>
      </c>
      <c r="C64" s="99">
        <v>13962739.970000001</v>
      </c>
      <c r="D64" s="99">
        <v>13962739.970000001</v>
      </c>
      <c r="E64" s="13">
        <v>6373023.9000000004</v>
      </c>
      <c r="F64" s="13">
        <f t="shared" si="1"/>
        <v>7589716.0700000003</v>
      </c>
      <c r="G64" s="13">
        <f t="shared" si="2"/>
        <v>45.64</v>
      </c>
      <c r="H64" s="13">
        <f t="shared" si="3"/>
        <v>45.64</v>
      </c>
      <c r="J64" s="9"/>
    </row>
    <row r="65" spans="1:10" s="10" customFormat="1" ht="31.2" x14ac:dyDescent="0.3">
      <c r="A65" s="6" t="s">
        <v>205</v>
      </c>
      <c r="B65" s="80" t="s">
        <v>245</v>
      </c>
      <c r="C65" s="100">
        <f>C66</f>
        <v>5447312</v>
      </c>
      <c r="D65" s="100">
        <f t="shared" ref="D65:E65" si="40">D66</f>
        <v>5447312</v>
      </c>
      <c r="E65" s="19">
        <f t="shared" si="40"/>
        <v>2444218.63</v>
      </c>
      <c r="F65" s="19">
        <f t="shared" si="1"/>
        <v>3003093.37</v>
      </c>
      <c r="G65" s="19">
        <f t="shared" si="2"/>
        <v>44.87</v>
      </c>
      <c r="H65" s="19">
        <f t="shared" si="3"/>
        <v>44.87</v>
      </c>
      <c r="J65" s="9"/>
    </row>
    <row r="66" spans="1:10" s="15" customFormat="1" ht="78" x14ac:dyDescent="0.3">
      <c r="A66" s="4" t="s">
        <v>24</v>
      </c>
      <c r="B66" s="81" t="s">
        <v>246</v>
      </c>
      <c r="C66" s="101">
        <v>5447312</v>
      </c>
      <c r="D66" s="101">
        <v>5447312</v>
      </c>
      <c r="E66" s="20">
        <v>2444218.63</v>
      </c>
      <c r="F66" s="20">
        <f t="shared" si="1"/>
        <v>3003093.37</v>
      </c>
      <c r="G66" s="20">
        <f t="shared" si="2"/>
        <v>44.87</v>
      </c>
      <c r="H66" s="20">
        <f t="shared" si="3"/>
        <v>44.87</v>
      </c>
      <c r="J66" s="9"/>
    </row>
    <row r="67" spans="1:10" s="10" customFormat="1" ht="15.6" x14ac:dyDescent="0.3">
      <c r="A67" s="27" t="s">
        <v>7</v>
      </c>
      <c r="B67" s="80" t="s">
        <v>251</v>
      </c>
      <c r="C67" s="98">
        <f>C68+C71</f>
        <v>1000000</v>
      </c>
      <c r="D67" s="98">
        <f t="shared" ref="D67:E67" si="41">D68+D71</f>
        <v>1000000</v>
      </c>
      <c r="E67" s="7">
        <f t="shared" si="41"/>
        <v>0</v>
      </c>
      <c r="F67" s="7">
        <f t="shared" si="1"/>
        <v>1000000</v>
      </c>
      <c r="G67" s="7">
        <f t="shared" si="2"/>
        <v>0</v>
      </c>
      <c r="H67" s="7">
        <f t="shared" si="3"/>
        <v>0</v>
      </c>
      <c r="J67" s="9"/>
    </row>
    <row r="68" spans="1:10" s="10" customFormat="1" ht="78" x14ac:dyDescent="0.3">
      <c r="A68" s="22" t="s">
        <v>252</v>
      </c>
      <c r="B68" s="89" t="s">
        <v>345</v>
      </c>
      <c r="C68" s="98">
        <f>C69+C70</f>
        <v>950000</v>
      </c>
      <c r="D68" s="98">
        <f t="shared" ref="D68:E68" si="42">D69+D70</f>
        <v>950000</v>
      </c>
      <c r="E68" s="7">
        <f t="shared" si="42"/>
        <v>0</v>
      </c>
      <c r="F68" s="7">
        <f t="shared" si="1"/>
        <v>950000</v>
      </c>
      <c r="G68" s="7">
        <f t="shared" si="2"/>
        <v>0</v>
      </c>
      <c r="H68" s="7">
        <f t="shared" si="3"/>
        <v>0</v>
      </c>
      <c r="J68" s="9"/>
    </row>
    <row r="69" spans="1:10" s="15" customFormat="1" ht="46.8" outlineLevel="5" x14ac:dyDescent="0.3">
      <c r="A69" s="29" t="s">
        <v>344</v>
      </c>
      <c r="B69" s="90" t="s">
        <v>346</v>
      </c>
      <c r="C69" s="99">
        <v>450000</v>
      </c>
      <c r="D69" s="99">
        <v>450000</v>
      </c>
      <c r="E69" s="13">
        <v>0</v>
      </c>
      <c r="F69" s="13">
        <f t="shared" si="1"/>
        <v>450000</v>
      </c>
      <c r="G69" s="13">
        <f t="shared" si="2"/>
        <v>0</v>
      </c>
      <c r="H69" s="13">
        <f t="shared" si="3"/>
        <v>0</v>
      </c>
      <c r="J69" s="9"/>
    </row>
    <row r="70" spans="1:10" s="10" customFormat="1" ht="31.2" x14ac:dyDescent="0.3">
      <c r="A70" s="30" t="s">
        <v>347</v>
      </c>
      <c r="B70" s="83" t="s">
        <v>342</v>
      </c>
      <c r="C70" s="99">
        <v>500000</v>
      </c>
      <c r="D70" s="99">
        <v>500000</v>
      </c>
      <c r="E70" s="13">
        <v>0</v>
      </c>
      <c r="F70" s="13">
        <f t="shared" si="1"/>
        <v>500000</v>
      </c>
      <c r="G70" s="13">
        <f t="shared" si="2"/>
        <v>0</v>
      </c>
      <c r="H70" s="13">
        <f t="shared" si="3"/>
        <v>0</v>
      </c>
      <c r="J70" s="9"/>
    </row>
    <row r="71" spans="1:10" s="10" customFormat="1" ht="46.8" x14ac:dyDescent="0.3">
      <c r="A71" s="22" t="s">
        <v>388</v>
      </c>
      <c r="B71" s="89" t="s">
        <v>385</v>
      </c>
      <c r="C71" s="98">
        <f>C72</f>
        <v>50000</v>
      </c>
      <c r="D71" s="98">
        <f t="shared" ref="D71:E71" si="43">D72</f>
        <v>50000</v>
      </c>
      <c r="E71" s="7">
        <f t="shared" si="43"/>
        <v>0</v>
      </c>
      <c r="F71" s="7">
        <f t="shared" si="1"/>
        <v>50000</v>
      </c>
      <c r="G71" s="7">
        <f t="shared" si="2"/>
        <v>0</v>
      </c>
      <c r="H71" s="7">
        <f t="shared" si="3"/>
        <v>0</v>
      </c>
      <c r="J71" s="9"/>
    </row>
    <row r="72" spans="1:10" s="15" customFormat="1" ht="31.2" outlineLevel="5" x14ac:dyDescent="0.3">
      <c r="A72" s="29" t="s">
        <v>387</v>
      </c>
      <c r="B72" s="90" t="s">
        <v>386</v>
      </c>
      <c r="C72" s="99">
        <v>50000</v>
      </c>
      <c r="D72" s="99">
        <v>50000</v>
      </c>
      <c r="E72" s="13">
        <v>0</v>
      </c>
      <c r="F72" s="13">
        <f t="shared" ref="F72:F135" si="44">$D72-$E72</f>
        <v>50000</v>
      </c>
      <c r="G72" s="13">
        <f t="shared" ref="G72:G135" si="45">$E72/$C72*100</f>
        <v>0</v>
      </c>
      <c r="H72" s="13">
        <f t="shared" ref="H72:H135" si="46">$E72/$D72*100</f>
        <v>0</v>
      </c>
      <c r="J72" s="9"/>
    </row>
    <row r="73" spans="1:10" s="10" customFormat="1" ht="31.2" outlineLevel="5" x14ac:dyDescent="0.3">
      <c r="A73" s="31" t="s">
        <v>240</v>
      </c>
      <c r="B73" s="88" t="s">
        <v>239</v>
      </c>
      <c r="C73" s="98">
        <f>C74</f>
        <v>3528000</v>
      </c>
      <c r="D73" s="98">
        <f t="shared" ref="D73:E74" si="47">D74</f>
        <v>3816000</v>
      </c>
      <c r="E73" s="7">
        <f t="shared" si="47"/>
        <v>2196492.67</v>
      </c>
      <c r="F73" s="7">
        <f t="shared" si="44"/>
        <v>1619507.33</v>
      </c>
      <c r="G73" s="7">
        <f t="shared" si="45"/>
        <v>62.26</v>
      </c>
      <c r="H73" s="7">
        <f t="shared" si="46"/>
        <v>57.56</v>
      </c>
      <c r="J73" s="9"/>
    </row>
    <row r="74" spans="1:10" s="10" customFormat="1" ht="31.2" outlineLevel="5" x14ac:dyDescent="0.3">
      <c r="A74" s="6" t="s">
        <v>243</v>
      </c>
      <c r="B74" s="80" t="s">
        <v>242</v>
      </c>
      <c r="C74" s="98">
        <f>C75</f>
        <v>3528000</v>
      </c>
      <c r="D74" s="98">
        <f t="shared" si="47"/>
        <v>3816000</v>
      </c>
      <c r="E74" s="7">
        <f t="shared" si="47"/>
        <v>2196492.67</v>
      </c>
      <c r="F74" s="7">
        <f t="shared" si="44"/>
        <v>1619507.33</v>
      </c>
      <c r="G74" s="7">
        <f t="shared" si="45"/>
        <v>62.26</v>
      </c>
      <c r="H74" s="7">
        <f t="shared" si="46"/>
        <v>57.56</v>
      </c>
      <c r="J74" s="9"/>
    </row>
    <row r="75" spans="1:10" s="15" customFormat="1" ht="15.6" x14ac:dyDescent="0.3">
      <c r="A75" s="32" t="s">
        <v>38</v>
      </c>
      <c r="B75" s="81" t="s">
        <v>241</v>
      </c>
      <c r="C75" s="99">
        <f>3528000</f>
        <v>3528000</v>
      </c>
      <c r="D75" s="99">
        <f t="shared" ref="D75" si="48">3528000+288000</f>
        <v>3816000</v>
      </c>
      <c r="E75" s="13">
        <v>2196492.67</v>
      </c>
      <c r="F75" s="13">
        <f t="shared" si="44"/>
        <v>1619507.33</v>
      </c>
      <c r="G75" s="13">
        <f t="shared" si="45"/>
        <v>62.26</v>
      </c>
      <c r="H75" s="13">
        <f t="shared" si="46"/>
        <v>57.56</v>
      </c>
      <c r="J75" s="9"/>
    </row>
    <row r="76" spans="1:10" s="10" customFormat="1" ht="46.8" x14ac:dyDescent="0.3">
      <c r="A76" s="25" t="s">
        <v>207</v>
      </c>
      <c r="B76" s="88" t="s">
        <v>10</v>
      </c>
      <c r="C76" s="100">
        <f>C77+C81+C85+C96</f>
        <v>85190975.549999997</v>
      </c>
      <c r="D76" s="100">
        <f t="shared" ref="D76:E76" si="49">D77+D81+D85+D96</f>
        <v>107833337.47</v>
      </c>
      <c r="E76" s="19">
        <f t="shared" si="49"/>
        <v>82583519.530000001</v>
      </c>
      <c r="F76" s="19">
        <f t="shared" si="44"/>
        <v>25249817.940000001</v>
      </c>
      <c r="G76" s="19">
        <f t="shared" si="45"/>
        <v>96.94</v>
      </c>
      <c r="H76" s="19">
        <f t="shared" si="46"/>
        <v>76.58</v>
      </c>
      <c r="J76" s="9"/>
    </row>
    <row r="77" spans="1:10" s="10" customFormat="1" ht="46.8" x14ac:dyDescent="0.3">
      <c r="A77" s="27" t="s">
        <v>348</v>
      </c>
      <c r="B77" s="80" t="s">
        <v>11</v>
      </c>
      <c r="C77" s="100">
        <f>C78</f>
        <v>56738838.18</v>
      </c>
      <c r="D77" s="100">
        <f t="shared" ref="D77:E77" si="50">D78</f>
        <v>60245499.189999998</v>
      </c>
      <c r="E77" s="19">
        <f t="shared" si="50"/>
        <v>42970528.729999997</v>
      </c>
      <c r="F77" s="19">
        <f t="shared" si="44"/>
        <v>17274970.460000001</v>
      </c>
      <c r="G77" s="19">
        <f t="shared" si="45"/>
        <v>75.73</v>
      </c>
      <c r="H77" s="19">
        <f t="shared" si="46"/>
        <v>71.33</v>
      </c>
      <c r="J77" s="9"/>
    </row>
    <row r="78" spans="1:10" s="10" customFormat="1" ht="62.4" outlineLevel="5" x14ac:dyDescent="0.3">
      <c r="A78" s="25" t="s">
        <v>349</v>
      </c>
      <c r="B78" s="80" t="s">
        <v>208</v>
      </c>
      <c r="C78" s="100">
        <f>C79+C80</f>
        <v>56738838.18</v>
      </c>
      <c r="D78" s="100">
        <f t="shared" ref="D78:E78" si="51">D79+D80</f>
        <v>60245499.189999998</v>
      </c>
      <c r="E78" s="19">
        <f t="shared" si="51"/>
        <v>42970528.729999997</v>
      </c>
      <c r="F78" s="19">
        <f t="shared" si="44"/>
        <v>17274970.460000001</v>
      </c>
      <c r="G78" s="19">
        <f t="shared" si="45"/>
        <v>75.73</v>
      </c>
      <c r="H78" s="19">
        <f t="shared" si="46"/>
        <v>71.33</v>
      </c>
      <c r="J78" s="9"/>
    </row>
    <row r="79" spans="1:10" s="15" customFormat="1" ht="31.2" outlineLevel="5" x14ac:dyDescent="0.3">
      <c r="A79" s="4" t="s">
        <v>41</v>
      </c>
      <c r="B79" s="81" t="s">
        <v>12</v>
      </c>
      <c r="C79" s="101">
        <f>56338838.18</f>
        <v>56338838.18</v>
      </c>
      <c r="D79" s="101">
        <v>58499547.780000001</v>
      </c>
      <c r="E79" s="20">
        <v>41880359.729999997</v>
      </c>
      <c r="F79" s="20">
        <f t="shared" si="44"/>
        <v>16619188.050000001</v>
      </c>
      <c r="G79" s="20">
        <f t="shared" si="45"/>
        <v>74.34</v>
      </c>
      <c r="H79" s="20">
        <f t="shared" si="46"/>
        <v>71.59</v>
      </c>
      <c r="J79" s="9"/>
    </row>
    <row r="80" spans="1:10" s="15" customFormat="1" ht="31.2" x14ac:dyDescent="0.3">
      <c r="A80" s="4" t="s">
        <v>44</v>
      </c>
      <c r="B80" s="91" t="s">
        <v>13</v>
      </c>
      <c r="C80" s="99">
        <f>400000</f>
        <v>400000</v>
      </c>
      <c r="D80" s="99">
        <f t="shared" ref="D80" si="52">400000+1547000-201048.59</f>
        <v>1745951.41</v>
      </c>
      <c r="E80" s="13">
        <v>1090169</v>
      </c>
      <c r="F80" s="13">
        <f t="shared" si="44"/>
        <v>655782.41</v>
      </c>
      <c r="G80" s="13">
        <f t="shared" si="45"/>
        <v>272.54000000000002</v>
      </c>
      <c r="H80" s="13">
        <f t="shared" si="46"/>
        <v>62.44</v>
      </c>
      <c r="J80" s="9"/>
    </row>
    <row r="81" spans="1:10" s="10" customFormat="1" ht="78" x14ac:dyDescent="0.3">
      <c r="A81" s="6" t="s">
        <v>337</v>
      </c>
      <c r="B81" s="80" t="s">
        <v>14</v>
      </c>
      <c r="C81" s="102">
        <f>C82</f>
        <v>14265280</v>
      </c>
      <c r="D81" s="102">
        <f t="shared" ref="D81:E81" si="53">D82</f>
        <v>13833671.289999999</v>
      </c>
      <c r="E81" s="34">
        <f t="shared" si="53"/>
        <v>9275139.9900000002</v>
      </c>
      <c r="F81" s="34">
        <f t="shared" si="44"/>
        <v>4558531.3</v>
      </c>
      <c r="G81" s="34">
        <f t="shared" si="45"/>
        <v>65.02</v>
      </c>
      <c r="H81" s="34">
        <f t="shared" si="46"/>
        <v>67.05</v>
      </c>
      <c r="J81" s="9"/>
    </row>
    <row r="82" spans="1:10" s="10" customFormat="1" ht="62.4" x14ac:dyDescent="0.3">
      <c r="A82" s="25" t="s">
        <v>349</v>
      </c>
      <c r="B82" s="80" t="s">
        <v>209</v>
      </c>
      <c r="C82" s="100">
        <f>C83+C84</f>
        <v>14265280</v>
      </c>
      <c r="D82" s="100">
        <f t="shared" ref="D82:E82" si="54">D83+D84</f>
        <v>13833671.289999999</v>
      </c>
      <c r="E82" s="19">
        <f t="shared" si="54"/>
        <v>9275139.9900000002</v>
      </c>
      <c r="F82" s="19">
        <f t="shared" si="44"/>
        <v>4558531.3</v>
      </c>
      <c r="G82" s="19">
        <f t="shared" si="45"/>
        <v>65.02</v>
      </c>
      <c r="H82" s="19">
        <f t="shared" si="46"/>
        <v>67.05</v>
      </c>
      <c r="J82" s="9"/>
    </row>
    <row r="83" spans="1:10" s="15" customFormat="1" ht="31.2" x14ac:dyDescent="0.3">
      <c r="A83" s="4" t="s">
        <v>41</v>
      </c>
      <c r="B83" s="92" t="s">
        <v>15</v>
      </c>
      <c r="C83" s="101">
        <f>14092080</f>
        <v>14092080</v>
      </c>
      <c r="D83" s="101">
        <v>13350172.289999999</v>
      </c>
      <c r="E83" s="20">
        <v>9091041.9900000002</v>
      </c>
      <c r="F83" s="20">
        <f t="shared" si="44"/>
        <v>4259130.3</v>
      </c>
      <c r="G83" s="20">
        <f t="shared" si="45"/>
        <v>64.510000000000005</v>
      </c>
      <c r="H83" s="20">
        <f t="shared" si="46"/>
        <v>68.099999999999994</v>
      </c>
      <c r="J83" s="9"/>
    </row>
    <row r="84" spans="1:10" s="10" customFormat="1" ht="31.2" x14ac:dyDescent="0.3">
      <c r="A84" s="4" t="s">
        <v>44</v>
      </c>
      <c r="B84" s="81" t="s">
        <v>16</v>
      </c>
      <c r="C84" s="99">
        <f>173200</f>
        <v>173200</v>
      </c>
      <c r="D84" s="99">
        <v>483499</v>
      </c>
      <c r="E84" s="13">
        <v>184098</v>
      </c>
      <c r="F84" s="13">
        <f t="shared" si="44"/>
        <v>299401</v>
      </c>
      <c r="G84" s="13">
        <f t="shared" si="45"/>
        <v>106.29</v>
      </c>
      <c r="H84" s="13">
        <f t="shared" si="46"/>
        <v>38.08</v>
      </c>
      <c r="J84" s="9"/>
    </row>
    <row r="85" spans="1:10" s="10" customFormat="1" ht="31.2" x14ac:dyDescent="0.3">
      <c r="A85" s="35" t="s">
        <v>211</v>
      </c>
      <c r="B85" s="80" t="s">
        <v>69</v>
      </c>
      <c r="C85" s="100">
        <f>C86+C93</f>
        <v>2259707.37</v>
      </c>
      <c r="D85" s="100">
        <f t="shared" ref="D85:E85" si="55">D86+D93</f>
        <v>21826527.309999999</v>
      </c>
      <c r="E85" s="19">
        <f t="shared" si="55"/>
        <v>19732505.73</v>
      </c>
      <c r="F85" s="19">
        <f t="shared" si="44"/>
        <v>2094021.58</v>
      </c>
      <c r="G85" s="19">
        <f t="shared" si="45"/>
        <v>873.23</v>
      </c>
      <c r="H85" s="19">
        <f t="shared" si="46"/>
        <v>90.41</v>
      </c>
      <c r="J85" s="9"/>
    </row>
    <row r="86" spans="1:10" s="10" customFormat="1" ht="46.8" x14ac:dyDescent="0.3">
      <c r="A86" s="35" t="s">
        <v>212</v>
      </c>
      <c r="B86" s="80" t="s">
        <v>210</v>
      </c>
      <c r="C86" s="100">
        <f>C87+C88+C89+C90+C91+C92</f>
        <v>2259707.37</v>
      </c>
      <c r="D86" s="100">
        <f t="shared" ref="D86:E86" si="56">D87+D88+D89+D90+D91+D92</f>
        <v>2161709.62</v>
      </c>
      <c r="E86" s="19">
        <f t="shared" si="56"/>
        <v>2161709.62</v>
      </c>
      <c r="F86" s="19">
        <f t="shared" si="44"/>
        <v>0</v>
      </c>
      <c r="G86" s="19">
        <f t="shared" si="45"/>
        <v>95.66</v>
      </c>
      <c r="H86" s="19">
        <f t="shared" si="46"/>
        <v>100</v>
      </c>
      <c r="J86" s="9"/>
    </row>
    <row r="87" spans="1:10" s="15" customFormat="1" ht="62.4" x14ac:dyDescent="0.3">
      <c r="A87" s="23" t="s">
        <v>83</v>
      </c>
      <c r="B87" s="87" t="s">
        <v>93</v>
      </c>
      <c r="C87" s="99">
        <v>168005</v>
      </c>
      <c r="D87" s="99">
        <v>168005</v>
      </c>
      <c r="E87" s="13">
        <v>168005</v>
      </c>
      <c r="F87" s="13">
        <f t="shared" si="44"/>
        <v>0</v>
      </c>
      <c r="G87" s="13">
        <f t="shared" si="45"/>
        <v>100</v>
      </c>
      <c r="H87" s="13">
        <f t="shared" si="46"/>
        <v>100</v>
      </c>
      <c r="J87" s="9"/>
    </row>
    <row r="88" spans="1:10" s="15" customFormat="1" ht="62.4" x14ac:dyDescent="0.3">
      <c r="A88" s="36" t="s">
        <v>127</v>
      </c>
      <c r="B88" s="83" t="s">
        <v>77</v>
      </c>
      <c r="C88" s="99">
        <v>1978717</v>
      </c>
      <c r="D88" s="99">
        <v>1978717</v>
      </c>
      <c r="E88" s="13">
        <v>1978717</v>
      </c>
      <c r="F88" s="13">
        <f t="shared" si="44"/>
        <v>0</v>
      </c>
      <c r="G88" s="13">
        <f t="shared" si="45"/>
        <v>100</v>
      </c>
      <c r="H88" s="13">
        <f t="shared" si="46"/>
        <v>100</v>
      </c>
      <c r="J88" s="9"/>
    </row>
    <row r="89" spans="1:10" s="15" customFormat="1" ht="62.4" x14ac:dyDescent="0.3">
      <c r="A89" s="30" t="s">
        <v>76</v>
      </c>
      <c r="B89" s="83" t="s">
        <v>77</v>
      </c>
      <c r="C89" s="99">
        <f>104143</f>
        <v>104143</v>
      </c>
      <c r="D89" s="99">
        <f t="shared" ref="D89:E89" si="57">104143-94351.41</f>
        <v>9791.59</v>
      </c>
      <c r="E89" s="13">
        <f t="shared" si="57"/>
        <v>9791.59</v>
      </c>
      <c r="F89" s="13">
        <f t="shared" si="44"/>
        <v>0</v>
      </c>
      <c r="G89" s="13">
        <f t="shared" si="45"/>
        <v>9.4</v>
      </c>
      <c r="H89" s="13">
        <f t="shared" si="46"/>
        <v>100</v>
      </c>
      <c r="J89" s="9"/>
    </row>
    <row r="90" spans="1:10" s="15" customFormat="1" ht="78" x14ac:dyDescent="0.3">
      <c r="A90" s="23" t="s">
        <v>129</v>
      </c>
      <c r="B90" s="87" t="s">
        <v>130</v>
      </c>
      <c r="C90" s="101">
        <v>0</v>
      </c>
      <c r="D90" s="101">
        <v>0</v>
      </c>
      <c r="E90" s="20">
        <v>0</v>
      </c>
      <c r="F90" s="20">
        <f t="shared" si="44"/>
        <v>0</v>
      </c>
      <c r="G90" s="20" t="s">
        <v>434</v>
      </c>
      <c r="H90" s="20" t="s">
        <v>434</v>
      </c>
      <c r="J90" s="9"/>
    </row>
    <row r="91" spans="1:10" s="15" customFormat="1" ht="78" x14ac:dyDescent="0.3">
      <c r="A91" s="37" t="s">
        <v>128</v>
      </c>
      <c r="B91" s="87" t="s">
        <v>130</v>
      </c>
      <c r="C91" s="101">
        <v>0</v>
      </c>
      <c r="D91" s="101">
        <v>0</v>
      </c>
      <c r="E91" s="20">
        <v>0</v>
      </c>
      <c r="F91" s="20">
        <f t="shared" si="44"/>
        <v>0</v>
      </c>
      <c r="G91" s="20" t="s">
        <v>434</v>
      </c>
      <c r="H91" s="20" t="s">
        <v>434</v>
      </c>
      <c r="J91" s="9"/>
    </row>
    <row r="92" spans="1:10" s="15" customFormat="1" ht="78" x14ac:dyDescent="0.3">
      <c r="A92" s="23" t="s">
        <v>92</v>
      </c>
      <c r="B92" s="87" t="s">
        <v>93</v>
      </c>
      <c r="C92" s="99">
        <f>8842.37</f>
        <v>8842.3700000000008</v>
      </c>
      <c r="D92" s="99">
        <f t="shared" ref="D92:E92" si="58">8842.37-3646.34</f>
        <v>5196.03</v>
      </c>
      <c r="E92" s="13">
        <f t="shared" si="58"/>
        <v>5196.03</v>
      </c>
      <c r="F92" s="13">
        <f t="shared" si="44"/>
        <v>0</v>
      </c>
      <c r="G92" s="13">
        <f t="shared" si="45"/>
        <v>58.76</v>
      </c>
      <c r="H92" s="13">
        <f t="shared" si="46"/>
        <v>100</v>
      </c>
      <c r="J92" s="9"/>
    </row>
    <row r="93" spans="1:10" s="10" customFormat="1" ht="15.6" x14ac:dyDescent="0.3">
      <c r="A93" s="16" t="s">
        <v>412</v>
      </c>
      <c r="B93" s="79" t="s">
        <v>411</v>
      </c>
      <c r="C93" s="98">
        <f>C94+C95</f>
        <v>0</v>
      </c>
      <c r="D93" s="98">
        <f t="shared" ref="D93:E93" si="59">D94+D95</f>
        <v>19664817.690000001</v>
      </c>
      <c r="E93" s="7">
        <f t="shared" si="59"/>
        <v>17570796.109999999</v>
      </c>
      <c r="F93" s="7">
        <f t="shared" si="44"/>
        <v>2094021.58</v>
      </c>
      <c r="G93" s="7" t="s">
        <v>434</v>
      </c>
      <c r="H93" s="7">
        <f t="shared" si="46"/>
        <v>89.35</v>
      </c>
      <c r="J93" s="9"/>
    </row>
    <row r="94" spans="1:10" s="15" customFormat="1" ht="31.2" x14ac:dyDescent="0.3">
      <c r="A94" s="12" t="s">
        <v>414</v>
      </c>
      <c r="B94" s="87" t="s">
        <v>413</v>
      </c>
      <c r="C94" s="99">
        <f>0</f>
        <v>0</v>
      </c>
      <c r="D94" s="99">
        <f t="shared" ref="D94" si="60">0+16150357.14+3417629.28</f>
        <v>19567986.420000002</v>
      </c>
      <c r="E94" s="13">
        <v>17484275.989999998</v>
      </c>
      <c r="F94" s="13">
        <f t="shared" si="44"/>
        <v>2083710.43</v>
      </c>
      <c r="G94" s="13" t="s">
        <v>434</v>
      </c>
      <c r="H94" s="13">
        <f t="shared" si="46"/>
        <v>89.35</v>
      </c>
      <c r="J94" s="9"/>
    </row>
    <row r="95" spans="1:10" s="15" customFormat="1" ht="31.2" x14ac:dyDescent="0.3">
      <c r="A95" s="12" t="s">
        <v>415</v>
      </c>
      <c r="B95" s="87" t="s">
        <v>413</v>
      </c>
      <c r="C95" s="99">
        <f>0</f>
        <v>0</v>
      </c>
      <c r="D95" s="99">
        <f t="shared" ref="D95" si="61">0+79919.3+16911.97</f>
        <v>96831.27</v>
      </c>
      <c r="E95" s="13">
        <v>86520.12</v>
      </c>
      <c r="F95" s="13">
        <f t="shared" si="44"/>
        <v>10311.15</v>
      </c>
      <c r="G95" s="13" t="s">
        <v>434</v>
      </c>
      <c r="H95" s="13">
        <f t="shared" si="46"/>
        <v>89.35</v>
      </c>
      <c r="J95" s="9"/>
    </row>
    <row r="96" spans="1:10" s="10" customFormat="1" ht="62.4" x14ac:dyDescent="0.3">
      <c r="A96" s="6" t="s">
        <v>213</v>
      </c>
      <c r="B96" s="88" t="s">
        <v>17</v>
      </c>
      <c r="C96" s="100">
        <f>C97</f>
        <v>11927150</v>
      </c>
      <c r="D96" s="100">
        <f t="shared" ref="D96:E96" si="62">D97</f>
        <v>11927639.68</v>
      </c>
      <c r="E96" s="19">
        <f t="shared" si="62"/>
        <v>10605345.08</v>
      </c>
      <c r="F96" s="19">
        <f t="shared" si="44"/>
        <v>1322294.6000000001</v>
      </c>
      <c r="G96" s="19">
        <f t="shared" si="45"/>
        <v>88.92</v>
      </c>
      <c r="H96" s="19">
        <f t="shared" si="46"/>
        <v>88.91</v>
      </c>
      <c r="J96" s="9"/>
    </row>
    <row r="97" spans="1:10" s="10" customFormat="1" ht="62.4" x14ac:dyDescent="0.3">
      <c r="A97" s="6" t="s">
        <v>349</v>
      </c>
      <c r="B97" s="88" t="s">
        <v>350</v>
      </c>
      <c r="C97" s="100">
        <f>C98+C99</f>
        <v>11927150</v>
      </c>
      <c r="D97" s="100">
        <f t="shared" ref="D97:E97" si="63">D98+D99</f>
        <v>11927639.68</v>
      </c>
      <c r="E97" s="19">
        <f t="shared" si="63"/>
        <v>10605345.08</v>
      </c>
      <c r="F97" s="19">
        <f t="shared" si="44"/>
        <v>1322294.6000000001</v>
      </c>
      <c r="G97" s="19">
        <f t="shared" si="45"/>
        <v>88.92</v>
      </c>
      <c r="H97" s="19">
        <f t="shared" si="46"/>
        <v>88.91</v>
      </c>
      <c r="J97" s="9"/>
    </row>
    <row r="98" spans="1:10" s="15" customFormat="1" ht="31.2" x14ac:dyDescent="0.3">
      <c r="A98" s="4" t="s">
        <v>41</v>
      </c>
      <c r="B98" s="92" t="s">
        <v>214</v>
      </c>
      <c r="C98" s="101">
        <f>11927150</f>
        <v>11927150</v>
      </c>
      <c r="D98" s="101">
        <v>11927639.68</v>
      </c>
      <c r="E98" s="20">
        <v>10605345.08</v>
      </c>
      <c r="F98" s="20">
        <f t="shared" si="44"/>
        <v>1322294.6000000001</v>
      </c>
      <c r="G98" s="20">
        <f t="shared" si="45"/>
        <v>88.92</v>
      </c>
      <c r="H98" s="20">
        <f t="shared" si="46"/>
        <v>88.91</v>
      </c>
      <c r="J98" s="9"/>
    </row>
    <row r="99" spans="1:10" s="10" customFormat="1" ht="31.2" x14ac:dyDescent="0.3">
      <c r="A99" s="4" t="s">
        <v>44</v>
      </c>
      <c r="B99" s="81" t="s">
        <v>215</v>
      </c>
      <c r="C99" s="99">
        <v>0</v>
      </c>
      <c r="D99" s="99">
        <v>0</v>
      </c>
      <c r="E99" s="13">
        <v>0</v>
      </c>
      <c r="F99" s="13">
        <f t="shared" si="44"/>
        <v>0</v>
      </c>
      <c r="G99" s="13" t="s">
        <v>434</v>
      </c>
      <c r="H99" s="13" t="s">
        <v>434</v>
      </c>
      <c r="J99" s="9"/>
    </row>
    <row r="100" spans="1:10" s="10" customFormat="1" ht="62.4" x14ac:dyDescent="0.3">
      <c r="A100" s="25" t="s">
        <v>247</v>
      </c>
      <c r="B100" s="77" t="s">
        <v>67</v>
      </c>
      <c r="C100" s="100">
        <f>C101+C105+C110+C126</f>
        <v>65527164.729999997</v>
      </c>
      <c r="D100" s="100">
        <f t="shared" ref="D100:E100" si="64">D101+D105+D110+D126</f>
        <v>63805040.329999998</v>
      </c>
      <c r="E100" s="19">
        <f t="shared" si="64"/>
        <v>46823998.729999997</v>
      </c>
      <c r="F100" s="19">
        <f t="shared" si="44"/>
        <v>16981041.600000001</v>
      </c>
      <c r="G100" s="19">
        <f t="shared" si="45"/>
        <v>71.459999999999994</v>
      </c>
      <c r="H100" s="19">
        <f t="shared" si="46"/>
        <v>73.39</v>
      </c>
      <c r="J100" s="9"/>
    </row>
    <row r="101" spans="1:10" s="10" customFormat="1" ht="31.2" x14ac:dyDescent="0.3">
      <c r="A101" s="25" t="s">
        <v>248</v>
      </c>
      <c r="B101" s="80" t="s">
        <v>6</v>
      </c>
      <c r="C101" s="100">
        <f>C102</f>
        <v>6366471.4699999997</v>
      </c>
      <c r="D101" s="100">
        <f t="shared" ref="D101:E101" si="65">D102</f>
        <v>7679975</v>
      </c>
      <c r="E101" s="19">
        <f t="shared" si="65"/>
        <v>7679975</v>
      </c>
      <c r="F101" s="19">
        <f t="shared" si="44"/>
        <v>0</v>
      </c>
      <c r="G101" s="19">
        <f t="shared" si="45"/>
        <v>120.63</v>
      </c>
      <c r="H101" s="19">
        <f t="shared" si="46"/>
        <v>100</v>
      </c>
      <c r="J101" s="9"/>
    </row>
    <row r="102" spans="1:10" s="10" customFormat="1" ht="31.2" x14ac:dyDescent="0.3">
      <c r="A102" s="25" t="s">
        <v>336</v>
      </c>
      <c r="B102" s="80" t="s">
        <v>249</v>
      </c>
      <c r="C102" s="100">
        <f>C103+C104</f>
        <v>6366471.4699999997</v>
      </c>
      <c r="D102" s="100">
        <f t="shared" ref="D102:E102" si="66">D103+D104</f>
        <v>7679975</v>
      </c>
      <c r="E102" s="19">
        <f t="shared" si="66"/>
        <v>7679975</v>
      </c>
      <c r="F102" s="19">
        <f t="shared" si="44"/>
        <v>0</v>
      </c>
      <c r="G102" s="19">
        <f t="shared" si="45"/>
        <v>120.63</v>
      </c>
      <c r="H102" s="19">
        <f t="shared" si="46"/>
        <v>100</v>
      </c>
      <c r="J102" s="9"/>
    </row>
    <row r="103" spans="1:10" s="15" customFormat="1" ht="46.8" x14ac:dyDescent="0.3">
      <c r="A103" s="23" t="s">
        <v>134</v>
      </c>
      <c r="B103" s="81" t="s">
        <v>75</v>
      </c>
      <c r="C103" s="101">
        <f>4715904.79</f>
        <v>4715904.79</v>
      </c>
      <c r="D103" s="101">
        <f t="shared" ref="D103:E103" si="67">4715904.79+1313503.53</f>
        <v>6029408.3200000003</v>
      </c>
      <c r="E103" s="20">
        <f t="shared" si="67"/>
        <v>6029408.3200000003</v>
      </c>
      <c r="F103" s="20">
        <f t="shared" si="44"/>
        <v>0</v>
      </c>
      <c r="G103" s="20">
        <f t="shared" si="45"/>
        <v>127.85</v>
      </c>
      <c r="H103" s="20">
        <f t="shared" si="46"/>
        <v>100</v>
      </c>
      <c r="J103" s="9"/>
    </row>
    <row r="104" spans="1:10" s="15" customFormat="1" ht="31.2" x14ac:dyDescent="0.3">
      <c r="A104" s="4" t="s">
        <v>135</v>
      </c>
      <c r="B104" s="81" t="s">
        <v>75</v>
      </c>
      <c r="C104" s="99">
        <v>1650566.68</v>
      </c>
      <c r="D104" s="99">
        <v>1650566.68</v>
      </c>
      <c r="E104" s="13">
        <v>1650566.68</v>
      </c>
      <c r="F104" s="13">
        <f t="shared" si="44"/>
        <v>0</v>
      </c>
      <c r="G104" s="13">
        <f t="shared" si="45"/>
        <v>100</v>
      </c>
      <c r="H104" s="13">
        <f t="shared" si="46"/>
        <v>100</v>
      </c>
      <c r="J104" s="9"/>
    </row>
    <row r="105" spans="1:10" s="10" customFormat="1" ht="62.4" x14ac:dyDescent="0.3">
      <c r="A105" s="25" t="s">
        <v>250</v>
      </c>
      <c r="B105" s="80" t="s">
        <v>85</v>
      </c>
      <c r="C105" s="100">
        <f>C106</f>
        <v>36363379.560000002</v>
      </c>
      <c r="D105" s="100">
        <f t="shared" ref="D105:E105" si="68">D106</f>
        <v>32295159.07</v>
      </c>
      <c r="E105" s="19">
        <f t="shared" si="68"/>
        <v>26098560.43</v>
      </c>
      <c r="F105" s="19">
        <f t="shared" si="44"/>
        <v>6196598.6399999997</v>
      </c>
      <c r="G105" s="19">
        <f t="shared" si="45"/>
        <v>71.77</v>
      </c>
      <c r="H105" s="19">
        <f t="shared" si="46"/>
        <v>80.81</v>
      </c>
      <c r="J105" s="9"/>
    </row>
    <row r="106" spans="1:10" s="10" customFormat="1" ht="62.4" x14ac:dyDescent="0.3">
      <c r="A106" s="25" t="s">
        <v>84</v>
      </c>
      <c r="B106" s="80" t="s">
        <v>86</v>
      </c>
      <c r="C106" s="100">
        <f>C107+C108+C109</f>
        <v>36363379.560000002</v>
      </c>
      <c r="D106" s="100">
        <f t="shared" ref="D106:E106" si="69">D107+D108+D109</f>
        <v>32295159.07</v>
      </c>
      <c r="E106" s="19">
        <f t="shared" si="69"/>
        <v>26098560.43</v>
      </c>
      <c r="F106" s="19">
        <f t="shared" si="44"/>
        <v>6196598.6399999997</v>
      </c>
      <c r="G106" s="19">
        <f t="shared" si="45"/>
        <v>71.77</v>
      </c>
      <c r="H106" s="19">
        <f t="shared" si="46"/>
        <v>80.81</v>
      </c>
      <c r="J106" s="9"/>
    </row>
    <row r="107" spans="1:10" s="10" customFormat="1" ht="62.4" x14ac:dyDescent="0.3">
      <c r="A107" s="23" t="s">
        <v>103</v>
      </c>
      <c r="B107" s="83" t="s">
        <v>120</v>
      </c>
      <c r="C107" s="99">
        <f>13621230</f>
        <v>13621230</v>
      </c>
      <c r="D107" s="99">
        <f t="shared" ref="D107:E107" si="70">13621230-70830-1355136</f>
        <v>12195264</v>
      </c>
      <c r="E107" s="13">
        <f t="shared" si="70"/>
        <v>12195264</v>
      </c>
      <c r="F107" s="13">
        <f t="shared" si="44"/>
        <v>0</v>
      </c>
      <c r="G107" s="13">
        <f t="shared" si="45"/>
        <v>89.53</v>
      </c>
      <c r="H107" s="13">
        <f t="shared" si="46"/>
        <v>100</v>
      </c>
      <c r="J107" s="9"/>
    </row>
    <row r="108" spans="1:10" s="15" customFormat="1" ht="62.4" x14ac:dyDescent="0.3">
      <c r="A108" s="23" t="s">
        <v>416</v>
      </c>
      <c r="B108" s="83" t="s">
        <v>417</v>
      </c>
      <c r="C108" s="99">
        <v>21497171.399999999</v>
      </c>
      <c r="D108" s="99">
        <f t="shared" ref="D108" si="71">18067200+2581504.2-2581504.2</f>
        <v>18067200</v>
      </c>
      <c r="E108" s="13">
        <v>13039482</v>
      </c>
      <c r="F108" s="13">
        <f t="shared" si="44"/>
        <v>5027718</v>
      </c>
      <c r="G108" s="13">
        <f t="shared" si="45"/>
        <v>60.66</v>
      </c>
      <c r="H108" s="13">
        <f t="shared" si="46"/>
        <v>72.17</v>
      </c>
      <c r="J108" s="9"/>
    </row>
    <row r="109" spans="1:10" s="10" customFormat="1" ht="93.6" x14ac:dyDescent="0.3">
      <c r="A109" s="23" t="s">
        <v>423</v>
      </c>
      <c r="B109" s="83" t="s">
        <v>417</v>
      </c>
      <c r="C109" s="99">
        <v>1244978.1599999999</v>
      </c>
      <c r="D109" s="99">
        <v>2032695.07</v>
      </c>
      <c r="E109" s="13">
        <v>863814.43</v>
      </c>
      <c r="F109" s="13">
        <f t="shared" si="44"/>
        <v>1168880.6399999999</v>
      </c>
      <c r="G109" s="13">
        <f t="shared" si="45"/>
        <v>69.38</v>
      </c>
      <c r="H109" s="13">
        <f t="shared" si="46"/>
        <v>42.5</v>
      </c>
      <c r="J109" s="9"/>
    </row>
    <row r="110" spans="1:10" s="10" customFormat="1" ht="46.8" x14ac:dyDescent="0.3">
      <c r="A110" s="22" t="s">
        <v>289</v>
      </c>
      <c r="B110" s="89" t="s">
        <v>71</v>
      </c>
      <c r="C110" s="98">
        <f>C111+C116+C121+C124</f>
        <v>19593313.699999999</v>
      </c>
      <c r="D110" s="98">
        <f t="shared" ref="D110:E110" si="72">D111+D116+D121+D124</f>
        <v>20625906.260000002</v>
      </c>
      <c r="E110" s="7">
        <f t="shared" si="72"/>
        <v>10378579.57</v>
      </c>
      <c r="F110" s="7">
        <f t="shared" si="44"/>
        <v>10247326.689999999</v>
      </c>
      <c r="G110" s="7">
        <f t="shared" si="45"/>
        <v>52.97</v>
      </c>
      <c r="H110" s="7">
        <f t="shared" si="46"/>
        <v>50.32</v>
      </c>
      <c r="J110" s="9"/>
    </row>
    <row r="111" spans="1:10" s="10" customFormat="1" ht="46.8" x14ac:dyDescent="0.3">
      <c r="A111" s="22" t="s">
        <v>300</v>
      </c>
      <c r="B111" s="89" t="s">
        <v>301</v>
      </c>
      <c r="C111" s="98">
        <f>C112+C113+C114+C115</f>
        <v>10064189.26</v>
      </c>
      <c r="D111" s="98">
        <f t="shared" ref="D111:E111" si="73">D112+D113+D114+D115</f>
        <v>9300941.3599999994</v>
      </c>
      <c r="E111" s="7">
        <f t="shared" si="73"/>
        <v>5088469.99</v>
      </c>
      <c r="F111" s="7">
        <f t="shared" si="44"/>
        <v>4212471.37</v>
      </c>
      <c r="G111" s="7">
        <f t="shared" si="45"/>
        <v>50.56</v>
      </c>
      <c r="H111" s="7">
        <f t="shared" si="46"/>
        <v>54.71</v>
      </c>
      <c r="J111" s="9"/>
    </row>
    <row r="112" spans="1:10" s="10" customFormat="1" ht="31.2" x14ac:dyDescent="0.3">
      <c r="A112" s="23" t="s">
        <v>302</v>
      </c>
      <c r="B112" s="83" t="s">
        <v>303</v>
      </c>
      <c r="C112" s="101">
        <f>288213.5</f>
        <v>288213.5</v>
      </c>
      <c r="D112" s="101">
        <f t="shared" ref="D112:E112" si="74">288213.5-288213.5</f>
        <v>0</v>
      </c>
      <c r="E112" s="20">
        <f t="shared" si="74"/>
        <v>0</v>
      </c>
      <c r="F112" s="20">
        <f t="shared" si="44"/>
        <v>0</v>
      </c>
      <c r="G112" s="20">
        <f t="shared" si="45"/>
        <v>0</v>
      </c>
      <c r="H112" s="20" t="s">
        <v>434</v>
      </c>
      <c r="J112" s="9"/>
    </row>
    <row r="113" spans="1:10" s="10" customFormat="1" ht="62.4" x14ac:dyDescent="0.3">
      <c r="A113" s="30" t="s">
        <v>131</v>
      </c>
      <c r="B113" s="78" t="s">
        <v>132</v>
      </c>
      <c r="C113" s="99">
        <v>9021913.1199999992</v>
      </c>
      <c r="D113" s="99">
        <v>9021913.1199999992</v>
      </c>
      <c r="E113" s="13">
        <v>4935815.8899999997</v>
      </c>
      <c r="F113" s="13">
        <f t="shared" si="44"/>
        <v>4086097.23</v>
      </c>
      <c r="G113" s="13">
        <f t="shared" si="45"/>
        <v>54.71</v>
      </c>
      <c r="H113" s="13">
        <f t="shared" si="46"/>
        <v>54.71</v>
      </c>
      <c r="J113" s="9"/>
    </row>
    <row r="114" spans="1:10" s="10" customFormat="1" ht="62.4" x14ac:dyDescent="0.3">
      <c r="A114" s="30" t="s">
        <v>133</v>
      </c>
      <c r="B114" s="78" t="s">
        <v>132</v>
      </c>
      <c r="C114" s="99">
        <f>91130.44</f>
        <v>91130.44</v>
      </c>
      <c r="D114" s="99">
        <f t="shared" ref="D114" si="75">91130.44-18373.08+206270.88</f>
        <v>279028.24</v>
      </c>
      <c r="E114" s="13">
        <v>152654.1</v>
      </c>
      <c r="F114" s="13">
        <f t="shared" si="44"/>
        <v>126374.14</v>
      </c>
      <c r="G114" s="13">
        <f t="shared" si="45"/>
        <v>167.51</v>
      </c>
      <c r="H114" s="13">
        <f t="shared" si="46"/>
        <v>54.71</v>
      </c>
      <c r="J114" s="9"/>
    </row>
    <row r="115" spans="1:10" s="10" customFormat="1" ht="78" x14ac:dyDescent="0.3">
      <c r="A115" s="30" t="s">
        <v>304</v>
      </c>
      <c r="B115" s="83" t="s">
        <v>74</v>
      </c>
      <c r="C115" s="99">
        <f>662932.2</f>
        <v>662932.19999999995</v>
      </c>
      <c r="D115" s="99">
        <f t="shared" ref="D115:E115" si="76">662932.2-662932.2</f>
        <v>0</v>
      </c>
      <c r="E115" s="13">
        <f t="shared" si="76"/>
        <v>0</v>
      </c>
      <c r="F115" s="13">
        <f t="shared" si="44"/>
        <v>0</v>
      </c>
      <c r="G115" s="13">
        <f t="shared" si="45"/>
        <v>0</v>
      </c>
      <c r="H115" s="13" t="s">
        <v>434</v>
      </c>
      <c r="J115" s="9"/>
    </row>
    <row r="116" spans="1:10" s="10" customFormat="1" ht="31.2" x14ac:dyDescent="0.3">
      <c r="A116" s="22" t="s">
        <v>290</v>
      </c>
      <c r="B116" s="89" t="s">
        <v>291</v>
      </c>
      <c r="C116" s="98">
        <f>C117+C118+C119+C120</f>
        <v>7419038.4699999997</v>
      </c>
      <c r="D116" s="98">
        <f t="shared" ref="D116:E116" si="77">D117+D118+D119+D120</f>
        <v>6066368.8799999999</v>
      </c>
      <c r="E116" s="7">
        <f t="shared" si="77"/>
        <v>3552826.11</v>
      </c>
      <c r="F116" s="7">
        <f t="shared" si="44"/>
        <v>2513542.77</v>
      </c>
      <c r="G116" s="7">
        <f t="shared" si="45"/>
        <v>47.89</v>
      </c>
      <c r="H116" s="7">
        <f t="shared" si="46"/>
        <v>58.57</v>
      </c>
      <c r="J116" s="9"/>
    </row>
    <row r="117" spans="1:10" s="10" customFormat="1" ht="31.2" x14ac:dyDescent="0.3">
      <c r="A117" s="30" t="s">
        <v>78</v>
      </c>
      <c r="B117" s="93" t="s">
        <v>79</v>
      </c>
      <c r="C117" s="99">
        <v>850000</v>
      </c>
      <c r="D117" s="99">
        <v>197330.41</v>
      </c>
      <c r="E117" s="13">
        <v>0</v>
      </c>
      <c r="F117" s="13">
        <f t="shared" si="44"/>
        <v>197330.41</v>
      </c>
      <c r="G117" s="13">
        <f t="shared" si="45"/>
        <v>0</v>
      </c>
      <c r="H117" s="13">
        <f t="shared" si="46"/>
        <v>0</v>
      </c>
      <c r="J117" s="9"/>
    </row>
    <row r="118" spans="1:10" s="10" customFormat="1" ht="46.8" x14ac:dyDescent="0.3">
      <c r="A118" s="30" t="s">
        <v>294</v>
      </c>
      <c r="B118" s="93" t="s">
        <v>293</v>
      </c>
      <c r="C118" s="99">
        <f>2637200.47</f>
        <v>2637200.4700000002</v>
      </c>
      <c r="D118" s="99">
        <f t="shared" ref="D118" si="78">2637200.47+200000-200000+2000000</f>
        <v>4637200.47</v>
      </c>
      <c r="E118" s="13">
        <v>3272826.11</v>
      </c>
      <c r="F118" s="13">
        <f t="shared" si="44"/>
        <v>1364374.36</v>
      </c>
      <c r="G118" s="13">
        <f t="shared" si="45"/>
        <v>124.1</v>
      </c>
      <c r="H118" s="13">
        <f t="shared" si="46"/>
        <v>70.58</v>
      </c>
      <c r="J118" s="9"/>
    </row>
    <row r="119" spans="1:10" s="10" customFormat="1" ht="46.8" x14ac:dyDescent="0.3">
      <c r="A119" s="30" t="s">
        <v>382</v>
      </c>
      <c r="B119" s="93" t="s">
        <v>292</v>
      </c>
      <c r="C119" s="99">
        <f>1000000</f>
        <v>1000000</v>
      </c>
      <c r="D119" s="99">
        <f t="shared" ref="D119" si="79">1000000-900000</f>
        <v>100000</v>
      </c>
      <c r="E119" s="13">
        <v>0</v>
      </c>
      <c r="F119" s="13">
        <f t="shared" si="44"/>
        <v>100000</v>
      </c>
      <c r="G119" s="13">
        <f t="shared" si="45"/>
        <v>0</v>
      </c>
      <c r="H119" s="13">
        <f t="shared" si="46"/>
        <v>0</v>
      </c>
      <c r="J119" s="9"/>
    </row>
    <row r="120" spans="1:10" s="10" customFormat="1" ht="46.8" x14ac:dyDescent="0.3">
      <c r="A120" s="30" t="s">
        <v>306</v>
      </c>
      <c r="B120" s="93" t="s">
        <v>305</v>
      </c>
      <c r="C120" s="99">
        <f>2931838</f>
        <v>2931838</v>
      </c>
      <c r="D120" s="99">
        <f t="shared" ref="D120" si="80">2931838-1800000</f>
        <v>1131838</v>
      </c>
      <c r="E120" s="13">
        <v>280000</v>
      </c>
      <c r="F120" s="13">
        <f t="shared" si="44"/>
        <v>851838</v>
      </c>
      <c r="G120" s="13">
        <f t="shared" si="45"/>
        <v>9.5500000000000007</v>
      </c>
      <c r="H120" s="13">
        <f t="shared" si="46"/>
        <v>24.74</v>
      </c>
      <c r="J120" s="9"/>
    </row>
    <row r="121" spans="1:10" s="10" customFormat="1" ht="31.2" x14ac:dyDescent="0.3">
      <c r="A121" s="25" t="s">
        <v>87</v>
      </c>
      <c r="B121" s="77" t="s">
        <v>112</v>
      </c>
      <c r="C121" s="98">
        <f>C122+C123</f>
        <v>1680085.97</v>
      </c>
      <c r="D121" s="98">
        <f t="shared" ref="D121:E121" si="81">D122+D123</f>
        <v>1760548.02</v>
      </c>
      <c r="E121" s="7">
        <f t="shared" si="81"/>
        <v>1648079.37</v>
      </c>
      <c r="F121" s="7">
        <f t="shared" si="44"/>
        <v>112468.65</v>
      </c>
      <c r="G121" s="7">
        <f t="shared" si="45"/>
        <v>98.09</v>
      </c>
      <c r="H121" s="7">
        <f t="shared" si="46"/>
        <v>93.61</v>
      </c>
      <c r="J121" s="9"/>
    </row>
    <row r="122" spans="1:10" s="10" customFormat="1" ht="46.8" x14ac:dyDescent="0.3">
      <c r="A122" s="23" t="s">
        <v>88</v>
      </c>
      <c r="B122" s="83" t="s">
        <v>113</v>
      </c>
      <c r="C122" s="99">
        <f>1596081.67</f>
        <v>1596081.67</v>
      </c>
      <c r="D122" s="99">
        <f>1596081.67</f>
        <v>1596081.67</v>
      </c>
      <c r="E122" s="13">
        <v>1595922.14</v>
      </c>
      <c r="F122" s="13">
        <f t="shared" si="44"/>
        <v>159.53</v>
      </c>
      <c r="G122" s="13">
        <f t="shared" si="45"/>
        <v>99.99</v>
      </c>
      <c r="H122" s="13">
        <f t="shared" si="46"/>
        <v>99.99</v>
      </c>
      <c r="J122" s="9"/>
    </row>
    <row r="123" spans="1:10" s="10" customFormat="1" ht="46.8" x14ac:dyDescent="0.3">
      <c r="A123" s="23" t="s">
        <v>91</v>
      </c>
      <c r="B123" s="83" t="s">
        <v>113</v>
      </c>
      <c r="C123" s="99">
        <f>84004.3</f>
        <v>84004.3</v>
      </c>
      <c r="D123" s="99">
        <f>84004.3-34640.95+115103</f>
        <v>164466.35</v>
      </c>
      <c r="E123" s="13">
        <v>52157.23</v>
      </c>
      <c r="F123" s="13">
        <f t="shared" si="44"/>
        <v>112309.12</v>
      </c>
      <c r="G123" s="13">
        <f t="shared" si="45"/>
        <v>62.09</v>
      </c>
      <c r="H123" s="13">
        <f t="shared" si="46"/>
        <v>31.71</v>
      </c>
      <c r="J123" s="9"/>
    </row>
    <row r="124" spans="1:10" s="10" customFormat="1" ht="46.8" x14ac:dyDescent="0.3">
      <c r="A124" s="38" t="s">
        <v>308</v>
      </c>
      <c r="B124" s="89" t="s">
        <v>307</v>
      </c>
      <c r="C124" s="98">
        <f>C125</f>
        <v>430000</v>
      </c>
      <c r="D124" s="98">
        <f t="shared" ref="D124:E124" si="82">D125</f>
        <v>3498048</v>
      </c>
      <c r="E124" s="7">
        <f t="shared" si="82"/>
        <v>89204.1</v>
      </c>
      <c r="F124" s="7">
        <f t="shared" si="44"/>
        <v>3408843.9</v>
      </c>
      <c r="G124" s="7">
        <f t="shared" si="45"/>
        <v>20.75</v>
      </c>
      <c r="H124" s="7">
        <f t="shared" si="46"/>
        <v>2.5499999999999998</v>
      </c>
      <c r="J124" s="9"/>
    </row>
    <row r="125" spans="1:10" s="10" customFormat="1" ht="31.2" x14ac:dyDescent="0.3">
      <c r="A125" s="21" t="s">
        <v>309</v>
      </c>
      <c r="B125" s="78" t="s">
        <v>310</v>
      </c>
      <c r="C125" s="99">
        <f>430000</f>
        <v>430000</v>
      </c>
      <c r="D125" s="99">
        <f t="shared" ref="D125" si="83">430000+3068048</f>
        <v>3498048</v>
      </c>
      <c r="E125" s="13">
        <v>89204.1</v>
      </c>
      <c r="F125" s="13">
        <f t="shared" si="44"/>
        <v>3408843.9</v>
      </c>
      <c r="G125" s="13">
        <f t="shared" si="45"/>
        <v>20.75</v>
      </c>
      <c r="H125" s="13">
        <f t="shared" si="46"/>
        <v>2.5499999999999998</v>
      </c>
      <c r="J125" s="9"/>
    </row>
    <row r="126" spans="1:10" s="10" customFormat="1" ht="31.2" x14ac:dyDescent="0.3">
      <c r="A126" s="22" t="s">
        <v>295</v>
      </c>
      <c r="B126" s="89" t="s">
        <v>296</v>
      </c>
      <c r="C126" s="98">
        <v>3204000</v>
      </c>
      <c r="D126" s="98">
        <f>D127</f>
        <v>3204000</v>
      </c>
      <c r="E126" s="7">
        <f>E127</f>
        <v>2666883.73</v>
      </c>
      <c r="F126" s="7">
        <f t="shared" si="44"/>
        <v>537116.27</v>
      </c>
      <c r="G126" s="7">
        <f t="shared" si="45"/>
        <v>83.24</v>
      </c>
      <c r="H126" s="7">
        <f t="shared" si="46"/>
        <v>83.24</v>
      </c>
      <c r="J126" s="9"/>
    </row>
    <row r="127" spans="1:10" s="10" customFormat="1" ht="46.8" x14ac:dyDescent="0.3">
      <c r="A127" s="22" t="s">
        <v>299</v>
      </c>
      <c r="B127" s="89" t="s">
        <v>297</v>
      </c>
      <c r="C127" s="98">
        <f>C128</f>
        <v>3204000</v>
      </c>
      <c r="D127" s="98">
        <f t="shared" ref="D127:E127" si="84">D128</f>
        <v>3204000</v>
      </c>
      <c r="E127" s="7">
        <f t="shared" si="84"/>
        <v>2666883.73</v>
      </c>
      <c r="F127" s="7">
        <f t="shared" si="44"/>
        <v>537116.27</v>
      </c>
      <c r="G127" s="7">
        <f t="shared" si="45"/>
        <v>83.24</v>
      </c>
      <c r="H127" s="7">
        <f t="shared" si="46"/>
        <v>83.24</v>
      </c>
      <c r="J127" s="9"/>
    </row>
    <row r="128" spans="1:10" s="10" customFormat="1" ht="31.2" x14ac:dyDescent="0.3">
      <c r="A128" s="37" t="s">
        <v>45</v>
      </c>
      <c r="B128" s="78" t="s">
        <v>298</v>
      </c>
      <c r="C128" s="99">
        <v>3204000</v>
      </c>
      <c r="D128" s="99">
        <v>3204000</v>
      </c>
      <c r="E128" s="13">
        <v>2666883.73</v>
      </c>
      <c r="F128" s="13">
        <f t="shared" si="44"/>
        <v>537116.27</v>
      </c>
      <c r="G128" s="13">
        <f t="shared" si="45"/>
        <v>83.24</v>
      </c>
      <c r="H128" s="13">
        <f t="shared" si="46"/>
        <v>83.24</v>
      </c>
      <c r="J128" s="9"/>
    </row>
    <row r="129" spans="1:10" s="10" customFormat="1" ht="62.4" x14ac:dyDescent="0.3">
      <c r="A129" s="16" t="s">
        <v>226</v>
      </c>
      <c r="B129" s="77" t="s">
        <v>50</v>
      </c>
      <c r="C129" s="100">
        <f>C130</f>
        <v>1500000</v>
      </c>
      <c r="D129" s="100">
        <f t="shared" ref="D129:E130" si="85">D130</f>
        <v>8650926.1400000006</v>
      </c>
      <c r="E129" s="19">
        <f t="shared" si="85"/>
        <v>2921761.49</v>
      </c>
      <c r="F129" s="19">
        <f t="shared" si="44"/>
        <v>5729164.6500000004</v>
      </c>
      <c r="G129" s="19">
        <f t="shared" si="45"/>
        <v>194.78</v>
      </c>
      <c r="H129" s="19">
        <f t="shared" si="46"/>
        <v>33.770000000000003</v>
      </c>
      <c r="J129" s="9"/>
    </row>
    <row r="130" spans="1:10" s="10" customFormat="1" ht="46.8" x14ac:dyDescent="0.3">
      <c r="A130" s="16" t="s">
        <v>51</v>
      </c>
      <c r="B130" s="77" t="s">
        <v>52</v>
      </c>
      <c r="C130" s="100">
        <f>C131</f>
        <v>1500000</v>
      </c>
      <c r="D130" s="100">
        <f t="shared" si="85"/>
        <v>8650926.1400000006</v>
      </c>
      <c r="E130" s="19">
        <f t="shared" si="85"/>
        <v>2921761.49</v>
      </c>
      <c r="F130" s="19">
        <f t="shared" si="44"/>
        <v>5729164.6500000004</v>
      </c>
      <c r="G130" s="19">
        <f t="shared" si="45"/>
        <v>194.78</v>
      </c>
      <c r="H130" s="19">
        <f t="shared" si="46"/>
        <v>33.770000000000003</v>
      </c>
      <c r="J130" s="9"/>
    </row>
    <row r="131" spans="1:10" s="10" customFormat="1" ht="46.8" x14ac:dyDescent="0.3">
      <c r="A131" s="6" t="s">
        <v>352</v>
      </c>
      <c r="B131" s="77" t="s">
        <v>351</v>
      </c>
      <c r="C131" s="100">
        <f>C132+C133+C134</f>
        <v>1500000</v>
      </c>
      <c r="D131" s="100">
        <f t="shared" ref="D131:E131" si="86">D132+D133+D134</f>
        <v>8650926.1400000006</v>
      </c>
      <c r="E131" s="19">
        <f t="shared" si="86"/>
        <v>2921761.49</v>
      </c>
      <c r="F131" s="19">
        <f t="shared" si="44"/>
        <v>5729164.6500000004</v>
      </c>
      <c r="G131" s="19">
        <f t="shared" si="45"/>
        <v>194.78</v>
      </c>
      <c r="H131" s="19">
        <f t="shared" si="46"/>
        <v>33.770000000000003</v>
      </c>
      <c r="J131" s="9"/>
    </row>
    <row r="132" spans="1:10" s="10" customFormat="1" ht="46.8" x14ac:dyDescent="0.3">
      <c r="A132" s="4" t="s">
        <v>353</v>
      </c>
      <c r="B132" s="78" t="s">
        <v>225</v>
      </c>
      <c r="C132" s="101">
        <v>500000</v>
      </c>
      <c r="D132" s="101">
        <v>500000</v>
      </c>
      <c r="E132" s="20">
        <v>23500</v>
      </c>
      <c r="F132" s="20">
        <f t="shared" si="44"/>
        <v>476500</v>
      </c>
      <c r="G132" s="20">
        <f t="shared" si="45"/>
        <v>4.7</v>
      </c>
      <c r="H132" s="20">
        <f t="shared" si="46"/>
        <v>4.7</v>
      </c>
      <c r="J132" s="9"/>
    </row>
    <row r="133" spans="1:10" s="10" customFormat="1" ht="31.2" x14ac:dyDescent="0.3">
      <c r="A133" s="4" t="s">
        <v>267</v>
      </c>
      <c r="B133" s="78" t="s">
        <v>372</v>
      </c>
      <c r="C133" s="101">
        <f>500000</f>
        <v>500000</v>
      </c>
      <c r="D133" s="101">
        <v>8150926.1399999997</v>
      </c>
      <c r="E133" s="20">
        <v>2898261.49</v>
      </c>
      <c r="F133" s="20">
        <f t="shared" si="44"/>
        <v>5252664.6500000004</v>
      </c>
      <c r="G133" s="20">
        <f t="shared" si="45"/>
        <v>579.65</v>
      </c>
      <c r="H133" s="20">
        <f t="shared" si="46"/>
        <v>35.56</v>
      </c>
      <c r="J133" s="9"/>
    </row>
    <row r="134" spans="1:10" s="10" customFormat="1" ht="46.8" x14ac:dyDescent="0.3">
      <c r="A134" s="4" t="s">
        <v>378</v>
      </c>
      <c r="B134" s="78" t="s">
        <v>377</v>
      </c>
      <c r="C134" s="101">
        <f>500000</f>
        <v>500000</v>
      </c>
      <c r="D134" s="101">
        <f t="shared" ref="D134:E134" si="87">500000-500000</f>
        <v>0</v>
      </c>
      <c r="E134" s="20">
        <f t="shared" si="87"/>
        <v>0</v>
      </c>
      <c r="F134" s="20">
        <f t="shared" si="44"/>
        <v>0</v>
      </c>
      <c r="G134" s="20">
        <f t="shared" si="45"/>
        <v>0</v>
      </c>
      <c r="H134" s="20" t="s">
        <v>434</v>
      </c>
      <c r="J134" s="9"/>
    </row>
    <row r="135" spans="1:10" s="10" customFormat="1" ht="46.8" x14ac:dyDescent="0.3">
      <c r="A135" s="17" t="s">
        <v>253</v>
      </c>
      <c r="B135" s="80" t="s">
        <v>8</v>
      </c>
      <c r="C135" s="100">
        <f>C136</f>
        <v>18300299.199999999</v>
      </c>
      <c r="D135" s="100">
        <f t="shared" ref="D135:E136" si="88">D136</f>
        <v>17944906.280000001</v>
      </c>
      <c r="E135" s="19">
        <f t="shared" si="88"/>
        <v>10736048.050000001</v>
      </c>
      <c r="F135" s="19">
        <f t="shared" si="44"/>
        <v>7208858.2300000004</v>
      </c>
      <c r="G135" s="19">
        <f t="shared" si="45"/>
        <v>58.67</v>
      </c>
      <c r="H135" s="19">
        <f t="shared" si="46"/>
        <v>59.83</v>
      </c>
      <c r="J135" s="9"/>
    </row>
    <row r="136" spans="1:10" s="10" customFormat="1" ht="31.2" x14ac:dyDescent="0.3">
      <c r="A136" s="17" t="s">
        <v>254</v>
      </c>
      <c r="B136" s="80" t="s">
        <v>9</v>
      </c>
      <c r="C136" s="100">
        <f>C137</f>
        <v>18300299.199999999</v>
      </c>
      <c r="D136" s="100">
        <f t="shared" si="88"/>
        <v>17944906.280000001</v>
      </c>
      <c r="E136" s="19">
        <f t="shared" si="88"/>
        <v>10736048.050000001</v>
      </c>
      <c r="F136" s="19">
        <f t="shared" ref="F136:F199" si="89">$D136-$E136</f>
        <v>7208858.2300000004</v>
      </c>
      <c r="G136" s="19">
        <f t="shared" ref="G136:G199" si="90">$E136/$C136*100</f>
        <v>58.67</v>
      </c>
      <c r="H136" s="19">
        <f t="shared" ref="H136:H199" si="91">$E136/$D136*100</f>
        <v>59.83</v>
      </c>
      <c r="J136" s="9"/>
    </row>
    <row r="137" spans="1:10" s="10" customFormat="1" ht="31.2" x14ac:dyDescent="0.3">
      <c r="A137" s="17" t="s">
        <v>254</v>
      </c>
      <c r="B137" s="80" t="s">
        <v>258</v>
      </c>
      <c r="C137" s="100">
        <f>C138+C139+C140+C141+C142</f>
        <v>18300299.199999999</v>
      </c>
      <c r="D137" s="100">
        <f t="shared" ref="D137:E137" si="92">D138+D139+D140+D141+D142</f>
        <v>17944906.280000001</v>
      </c>
      <c r="E137" s="19">
        <f t="shared" si="92"/>
        <v>10736048.050000001</v>
      </c>
      <c r="F137" s="19">
        <f t="shared" si="89"/>
        <v>7208858.2300000004</v>
      </c>
      <c r="G137" s="19">
        <f t="shared" si="90"/>
        <v>58.67</v>
      </c>
      <c r="H137" s="19">
        <f t="shared" si="91"/>
        <v>59.83</v>
      </c>
      <c r="J137" s="9"/>
    </row>
    <row r="138" spans="1:10" s="10" customFormat="1" ht="78" x14ac:dyDescent="0.3">
      <c r="A138" s="5" t="s">
        <v>39</v>
      </c>
      <c r="B138" s="85" t="s">
        <v>257</v>
      </c>
      <c r="C138" s="99">
        <v>2690000</v>
      </c>
      <c r="D138" s="99">
        <v>2690000</v>
      </c>
      <c r="E138" s="13">
        <v>1462349.4</v>
      </c>
      <c r="F138" s="13">
        <f t="shared" si="89"/>
        <v>1227650.6000000001</v>
      </c>
      <c r="G138" s="13">
        <f t="shared" si="90"/>
        <v>54.36</v>
      </c>
      <c r="H138" s="13">
        <f t="shared" si="91"/>
        <v>54.36</v>
      </c>
      <c r="J138" s="9"/>
    </row>
    <row r="139" spans="1:10" s="15" customFormat="1" ht="31.2" x14ac:dyDescent="0.3">
      <c r="A139" s="5" t="s">
        <v>40</v>
      </c>
      <c r="B139" s="85" t="s">
        <v>256</v>
      </c>
      <c r="C139" s="99">
        <v>1759968</v>
      </c>
      <c r="D139" s="99">
        <v>1759968</v>
      </c>
      <c r="E139" s="13">
        <v>832444</v>
      </c>
      <c r="F139" s="13">
        <f t="shared" si="89"/>
        <v>927524</v>
      </c>
      <c r="G139" s="13">
        <f t="shared" si="90"/>
        <v>47.3</v>
      </c>
      <c r="H139" s="13">
        <f t="shared" si="91"/>
        <v>47.3</v>
      </c>
      <c r="J139" s="9"/>
    </row>
    <row r="140" spans="1:10" s="15" customFormat="1" ht="46.8" x14ac:dyDescent="0.3">
      <c r="A140" s="4" t="s">
        <v>46</v>
      </c>
      <c r="B140" s="85" t="s">
        <v>259</v>
      </c>
      <c r="C140" s="99">
        <v>13494938.279999999</v>
      </c>
      <c r="D140" s="99">
        <v>13494938.279999999</v>
      </c>
      <c r="E140" s="13">
        <v>8441254.6500000004</v>
      </c>
      <c r="F140" s="13">
        <f t="shared" si="89"/>
        <v>5053683.63</v>
      </c>
      <c r="G140" s="13">
        <f t="shared" si="90"/>
        <v>62.55</v>
      </c>
      <c r="H140" s="13">
        <f t="shared" si="91"/>
        <v>62.55</v>
      </c>
      <c r="J140" s="9"/>
    </row>
    <row r="141" spans="1:10" s="10" customFormat="1" ht="46.8" x14ac:dyDescent="0.3">
      <c r="A141" s="23" t="s">
        <v>122</v>
      </c>
      <c r="B141" s="87" t="s">
        <v>255</v>
      </c>
      <c r="C141" s="101">
        <f>337623.27</f>
        <v>337623.27</v>
      </c>
      <c r="D141" s="101">
        <f t="shared" ref="D141:E141" si="93">337623.27-337623.27</f>
        <v>0</v>
      </c>
      <c r="E141" s="20">
        <f t="shared" si="93"/>
        <v>0</v>
      </c>
      <c r="F141" s="20">
        <f t="shared" si="89"/>
        <v>0</v>
      </c>
      <c r="G141" s="20">
        <f t="shared" si="90"/>
        <v>0</v>
      </c>
      <c r="H141" s="20" t="s">
        <v>434</v>
      </c>
      <c r="J141" s="9"/>
    </row>
    <row r="142" spans="1:10" s="10" customFormat="1" ht="31.2" x14ac:dyDescent="0.3">
      <c r="A142" s="23" t="s">
        <v>136</v>
      </c>
      <c r="B142" s="87" t="s">
        <v>255</v>
      </c>
      <c r="C142" s="101">
        <f>17769.65</f>
        <v>17769.650000000001</v>
      </c>
      <c r="D142" s="101">
        <f t="shared" ref="D142:E142" si="94">17769.65-17769.65</f>
        <v>0</v>
      </c>
      <c r="E142" s="20">
        <f t="shared" si="94"/>
        <v>0</v>
      </c>
      <c r="F142" s="20">
        <f t="shared" si="89"/>
        <v>0</v>
      </c>
      <c r="G142" s="20">
        <f t="shared" si="90"/>
        <v>0</v>
      </c>
      <c r="H142" s="20" t="s">
        <v>434</v>
      </c>
      <c r="J142" s="9"/>
    </row>
    <row r="143" spans="1:10" s="10" customFormat="1" ht="46.8" x14ac:dyDescent="0.3">
      <c r="A143" s="17" t="s">
        <v>260</v>
      </c>
      <c r="B143" s="94" t="s">
        <v>53</v>
      </c>
      <c r="C143" s="100">
        <f>C144+C147</f>
        <v>5717979</v>
      </c>
      <c r="D143" s="100">
        <f t="shared" ref="D143:E143" si="95">D144+D147</f>
        <v>8628625.7100000009</v>
      </c>
      <c r="E143" s="19">
        <f t="shared" si="95"/>
        <v>7408255.79</v>
      </c>
      <c r="F143" s="19">
        <f t="shared" si="89"/>
        <v>1220369.9199999999</v>
      </c>
      <c r="G143" s="19">
        <f t="shared" si="90"/>
        <v>129.56</v>
      </c>
      <c r="H143" s="19">
        <f t="shared" si="91"/>
        <v>85.86</v>
      </c>
      <c r="J143" s="9"/>
    </row>
    <row r="144" spans="1:10" s="10" customFormat="1" ht="31.2" x14ac:dyDescent="0.3">
      <c r="A144" s="17" t="s">
        <v>268</v>
      </c>
      <c r="B144" s="77" t="s">
        <v>54</v>
      </c>
      <c r="C144" s="103">
        <f>C145</f>
        <v>914479</v>
      </c>
      <c r="D144" s="103">
        <f t="shared" ref="D144:E145" si="96">D145</f>
        <v>2155979</v>
      </c>
      <c r="E144" s="39">
        <f t="shared" si="96"/>
        <v>1039109.18</v>
      </c>
      <c r="F144" s="39">
        <f t="shared" si="89"/>
        <v>1116869.82</v>
      </c>
      <c r="G144" s="39">
        <f t="shared" si="90"/>
        <v>113.63</v>
      </c>
      <c r="H144" s="39">
        <f t="shared" si="91"/>
        <v>48.2</v>
      </c>
      <c r="J144" s="9"/>
    </row>
    <row r="145" spans="1:10" s="10" customFormat="1" ht="31.2" x14ac:dyDescent="0.3">
      <c r="A145" s="35" t="s">
        <v>269</v>
      </c>
      <c r="B145" s="77" t="s">
        <v>270</v>
      </c>
      <c r="C145" s="98">
        <f>C146</f>
        <v>914479</v>
      </c>
      <c r="D145" s="98">
        <f t="shared" si="96"/>
        <v>2155979</v>
      </c>
      <c r="E145" s="7">
        <f t="shared" si="96"/>
        <v>1039109.18</v>
      </c>
      <c r="F145" s="7">
        <f t="shared" si="89"/>
        <v>1116869.82</v>
      </c>
      <c r="G145" s="7">
        <f t="shared" si="90"/>
        <v>113.63</v>
      </c>
      <c r="H145" s="7">
        <f t="shared" si="91"/>
        <v>48.2</v>
      </c>
      <c r="J145" s="9"/>
    </row>
    <row r="146" spans="1:10" s="15" customFormat="1" ht="15.6" x14ac:dyDescent="0.3">
      <c r="A146" s="12" t="s">
        <v>271</v>
      </c>
      <c r="B146" s="78" t="s">
        <v>272</v>
      </c>
      <c r="C146" s="99">
        <f>914479</f>
        <v>914479</v>
      </c>
      <c r="D146" s="99">
        <f t="shared" ref="D146" si="97">914479+1241500</f>
        <v>2155979</v>
      </c>
      <c r="E146" s="13">
        <v>1039109.18</v>
      </c>
      <c r="F146" s="13">
        <f t="shared" si="89"/>
        <v>1116869.82</v>
      </c>
      <c r="G146" s="13">
        <f t="shared" si="90"/>
        <v>113.63</v>
      </c>
      <c r="H146" s="13">
        <f t="shared" si="91"/>
        <v>48.2</v>
      </c>
      <c r="J146" s="9"/>
    </row>
    <row r="147" spans="1:10" s="10" customFormat="1" ht="15.6" x14ac:dyDescent="0.3">
      <c r="A147" s="35" t="s">
        <v>261</v>
      </c>
      <c r="B147" s="77" t="s">
        <v>55</v>
      </c>
      <c r="C147" s="98">
        <f>C148</f>
        <v>4803500</v>
      </c>
      <c r="D147" s="98">
        <f t="shared" ref="D147:E147" si="98">D148</f>
        <v>6472646.71</v>
      </c>
      <c r="E147" s="7">
        <f t="shared" si="98"/>
        <v>6369146.6100000003</v>
      </c>
      <c r="F147" s="7">
        <f t="shared" si="89"/>
        <v>103500.1</v>
      </c>
      <c r="G147" s="7">
        <f t="shared" si="90"/>
        <v>132.59</v>
      </c>
      <c r="H147" s="7">
        <f t="shared" si="91"/>
        <v>98.4</v>
      </c>
      <c r="J147" s="9"/>
    </row>
    <row r="148" spans="1:10" s="10" customFormat="1" ht="31.2" x14ac:dyDescent="0.3">
      <c r="A148" s="35" t="s">
        <v>263</v>
      </c>
      <c r="B148" s="77" t="s">
        <v>262</v>
      </c>
      <c r="C148" s="98">
        <f>C149+C150+C151</f>
        <v>4803500</v>
      </c>
      <c r="D148" s="98">
        <f t="shared" ref="D148:E148" si="99">D149+D150+D151</f>
        <v>6472646.71</v>
      </c>
      <c r="E148" s="7">
        <f t="shared" si="99"/>
        <v>6369146.6100000003</v>
      </c>
      <c r="F148" s="7">
        <f t="shared" si="89"/>
        <v>103500.1</v>
      </c>
      <c r="G148" s="7">
        <f t="shared" si="90"/>
        <v>132.59</v>
      </c>
      <c r="H148" s="7">
        <f t="shared" si="91"/>
        <v>98.4</v>
      </c>
      <c r="J148" s="9"/>
    </row>
    <row r="149" spans="1:10" s="15" customFormat="1" ht="62.4" x14ac:dyDescent="0.3">
      <c r="A149" s="12" t="s">
        <v>276</v>
      </c>
      <c r="B149" s="78" t="s">
        <v>275</v>
      </c>
      <c r="C149" s="99">
        <v>3500</v>
      </c>
      <c r="D149" s="99">
        <v>3500</v>
      </c>
      <c r="E149" s="13">
        <v>0</v>
      </c>
      <c r="F149" s="13">
        <f t="shared" si="89"/>
        <v>3500</v>
      </c>
      <c r="G149" s="13">
        <f t="shared" si="90"/>
        <v>0</v>
      </c>
      <c r="H149" s="13">
        <f t="shared" si="91"/>
        <v>0</v>
      </c>
      <c r="J149" s="9"/>
    </row>
    <row r="150" spans="1:10" s="15" customFormat="1" ht="46.8" x14ac:dyDescent="0.3">
      <c r="A150" s="12" t="s">
        <v>273</v>
      </c>
      <c r="B150" s="78" t="s">
        <v>274</v>
      </c>
      <c r="C150" s="99">
        <v>100000</v>
      </c>
      <c r="D150" s="99">
        <v>100000</v>
      </c>
      <c r="E150" s="13">
        <v>0</v>
      </c>
      <c r="F150" s="13">
        <f t="shared" si="89"/>
        <v>100000</v>
      </c>
      <c r="G150" s="13">
        <f t="shared" si="90"/>
        <v>0</v>
      </c>
      <c r="H150" s="13">
        <f t="shared" si="91"/>
        <v>0</v>
      </c>
      <c r="J150" s="9"/>
    </row>
    <row r="151" spans="1:10" s="15" customFormat="1" ht="46.8" x14ac:dyDescent="0.3">
      <c r="A151" s="4" t="s">
        <v>264</v>
      </c>
      <c r="B151" s="78" t="s">
        <v>265</v>
      </c>
      <c r="C151" s="99">
        <f>4700000</f>
        <v>4700000</v>
      </c>
      <c r="D151" s="99">
        <v>6369146.71</v>
      </c>
      <c r="E151" s="13">
        <v>6369146.6100000003</v>
      </c>
      <c r="F151" s="13">
        <f t="shared" si="89"/>
        <v>0.1</v>
      </c>
      <c r="G151" s="13">
        <f t="shared" si="90"/>
        <v>135.51</v>
      </c>
      <c r="H151" s="13">
        <f t="shared" si="91"/>
        <v>100</v>
      </c>
      <c r="J151" s="9"/>
    </row>
    <row r="152" spans="1:10" s="10" customFormat="1" ht="46.8" x14ac:dyDescent="0.3">
      <c r="A152" s="17" t="s">
        <v>227</v>
      </c>
      <c r="B152" s="80" t="s">
        <v>59</v>
      </c>
      <c r="C152" s="100">
        <f>C153+C158</f>
        <v>159305926.68000001</v>
      </c>
      <c r="D152" s="100">
        <f t="shared" ref="D152:E152" si="100">D153+D158</f>
        <v>164042330</v>
      </c>
      <c r="E152" s="19">
        <f t="shared" si="100"/>
        <v>65434073.979999997</v>
      </c>
      <c r="F152" s="19">
        <f t="shared" si="89"/>
        <v>98608256.019999996</v>
      </c>
      <c r="G152" s="19">
        <f t="shared" si="90"/>
        <v>41.07</v>
      </c>
      <c r="H152" s="19">
        <f t="shared" si="91"/>
        <v>39.89</v>
      </c>
      <c r="J152" s="9"/>
    </row>
    <row r="153" spans="1:10" s="10" customFormat="1" ht="31.2" x14ac:dyDescent="0.3">
      <c r="A153" s="17" t="s">
        <v>228</v>
      </c>
      <c r="B153" s="77" t="s">
        <v>60</v>
      </c>
      <c r="C153" s="100">
        <f>C154</f>
        <v>9086926.6799999997</v>
      </c>
      <c r="D153" s="100">
        <f t="shared" ref="D153:E153" si="101">D154</f>
        <v>10638996.710000001</v>
      </c>
      <c r="E153" s="19">
        <f t="shared" si="101"/>
        <v>2980161.68</v>
      </c>
      <c r="F153" s="19">
        <f t="shared" si="89"/>
        <v>7658835.0300000003</v>
      </c>
      <c r="G153" s="19">
        <f t="shared" si="90"/>
        <v>32.799999999999997</v>
      </c>
      <c r="H153" s="19">
        <f t="shared" si="91"/>
        <v>28.01</v>
      </c>
      <c r="J153" s="9"/>
    </row>
    <row r="154" spans="1:10" s="10" customFormat="1" ht="46.8" x14ac:dyDescent="0.3">
      <c r="A154" s="17" t="s">
        <v>229</v>
      </c>
      <c r="B154" s="77" t="s">
        <v>173</v>
      </c>
      <c r="C154" s="100">
        <f>C155+C156+C157</f>
        <v>9086926.6799999997</v>
      </c>
      <c r="D154" s="100">
        <f t="shared" ref="D154:E154" si="102">D155+D156+D157</f>
        <v>10638996.710000001</v>
      </c>
      <c r="E154" s="19">
        <f t="shared" si="102"/>
        <v>2980161.68</v>
      </c>
      <c r="F154" s="19">
        <f t="shared" si="89"/>
        <v>7658835.0300000003</v>
      </c>
      <c r="G154" s="19">
        <f t="shared" si="90"/>
        <v>32.799999999999997</v>
      </c>
      <c r="H154" s="19">
        <f t="shared" si="91"/>
        <v>28.01</v>
      </c>
      <c r="J154" s="9"/>
    </row>
    <row r="155" spans="1:10" s="10" customFormat="1" ht="78" x14ac:dyDescent="0.3">
      <c r="A155" s="5" t="s">
        <v>172</v>
      </c>
      <c r="B155" s="78" t="s">
        <v>171</v>
      </c>
      <c r="C155" s="99">
        <f>3983473.92</f>
        <v>3983473.92</v>
      </c>
      <c r="D155" s="99">
        <f t="shared" ref="D155" si="103">3983473.92+340000+3313396.76-3313396.76</f>
        <v>4323473.92</v>
      </c>
      <c r="E155" s="13">
        <v>2260161.6800000002</v>
      </c>
      <c r="F155" s="13">
        <f t="shared" si="89"/>
        <v>2063312.24</v>
      </c>
      <c r="G155" s="13">
        <f t="shared" si="90"/>
        <v>56.74</v>
      </c>
      <c r="H155" s="13">
        <f t="shared" si="91"/>
        <v>52.28</v>
      </c>
      <c r="J155" s="9"/>
    </row>
    <row r="156" spans="1:10" s="10" customFormat="1" ht="62.4" x14ac:dyDescent="0.3">
      <c r="A156" s="5" t="s">
        <v>137</v>
      </c>
      <c r="B156" s="78" t="s">
        <v>138</v>
      </c>
      <c r="C156" s="99">
        <f>4848280.12</f>
        <v>4848280.12</v>
      </c>
      <c r="D156" s="99">
        <f t="shared" ref="D156" si="104">4848280.12</f>
        <v>4848280.12</v>
      </c>
      <c r="E156" s="13">
        <v>480000</v>
      </c>
      <c r="F156" s="13">
        <f t="shared" si="89"/>
        <v>4368280.12</v>
      </c>
      <c r="G156" s="13">
        <f t="shared" si="90"/>
        <v>9.9</v>
      </c>
      <c r="H156" s="13">
        <f t="shared" si="91"/>
        <v>9.9</v>
      </c>
      <c r="J156" s="9"/>
    </row>
    <row r="157" spans="1:10" s="10" customFormat="1" ht="46.8" x14ac:dyDescent="0.3">
      <c r="A157" s="5" t="s">
        <v>139</v>
      </c>
      <c r="B157" s="78" t="s">
        <v>138</v>
      </c>
      <c r="C157" s="99">
        <f>255172.64</f>
        <v>255172.64</v>
      </c>
      <c r="D157" s="99">
        <f t="shared" ref="D157" si="105">255172.64+1212070.03</f>
        <v>1467242.67</v>
      </c>
      <c r="E157" s="13">
        <v>240000</v>
      </c>
      <c r="F157" s="13">
        <f t="shared" si="89"/>
        <v>1227242.67</v>
      </c>
      <c r="G157" s="13">
        <f t="shared" si="90"/>
        <v>94.05</v>
      </c>
      <c r="H157" s="13">
        <f t="shared" si="91"/>
        <v>16.36</v>
      </c>
      <c r="J157" s="9"/>
    </row>
    <row r="158" spans="1:10" s="10" customFormat="1" ht="31.2" x14ac:dyDescent="0.3">
      <c r="A158" s="11" t="s">
        <v>230</v>
      </c>
      <c r="B158" s="80" t="s">
        <v>61</v>
      </c>
      <c r="C158" s="100">
        <f>C159+C163</f>
        <v>150219000</v>
      </c>
      <c r="D158" s="100">
        <f t="shared" ref="D158:E158" si="106">D159+D163</f>
        <v>153403333.28999999</v>
      </c>
      <c r="E158" s="19">
        <f t="shared" si="106"/>
        <v>62453912.299999997</v>
      </c>
      <c r="F158" s="19">
        <f t="shared" si="89"/>
        <v>90949420.989999995</v>
      </c>
      <c r="G158" s="19">
        <f t="shared" si="90"/>
        <v>41.58</v>
      </c>
      <c r="H158" s="19">
        <f t="shared" si="91"/>
        <v>40.71</v>
      </c>
      <c r="J158" s="9"/>
    </row>
    <row r="159" spans="1:10" s="10" customFormat="1" ht="31.2" x14ac:dyDescent="0.3">
      <c r="A159" s="17" t="s">
        <v>231</v>
      </c>
      <c r="B159" s="89" t="s">
        <v>73</v>
      </c>
      <c r="C159" s="100">
        <f>C160+C161+C162</f>
        <v>30219000</v>
      </c>
      <c r="D159" s="100">
        <f t="shared" ref="D159:E159" si="107">D160+D161+D162</f>
        <v>33403333.289999999</v>
      </c>
      <c r="E159" s="19">
        <f t="shared" si="107"/>
        <v>11624013.66</v>
      </c>
      <c r="F159" s="19">
        <f t="shared" si="89"/>
        <v>21779319.629999999</v>
      </c>
      <c r="G159" s="19">
        <f t="shared" si="90"/>
        <v>38.47</v>
      </c>
      <c r="H159" s="19">
        <f t="shared" si="91"/>
        <v>34.799999999999997</v>
      </c>
      <c r="J159" s="9"/>
    </row>
    <row r="160" spans="1:10" s="10" customFormat="1" ht="31.2" x14ac:dyDescent="0.3">
      <c r="A160" s="4" t="s">
        <v>233</v>
      </c>
      <c r="B160" s="81" t="s">
        <v>62</v>
      </c>
      <c r="C160" s="99">
        <f>20907422.01</f>
        <v>20907422.010000002</v>
      </c>
      <c r="D160" s="99">
        <f t="shared" ref="D160" si="108">20907422.01+3430211.28</f>
        <v>24337633.289999999</v>
      </c>
      <c r="E160" s="13">
        <v>5725392.6600000001</v>
      </c>
      <c r="F160" s="13">
        <f t="shared" si="89"/>
        <v>18612240.629999999</v>
      </c>
      <c r="G160" s="13">
        <f t="shared" si="90"/>
        <v>27.38</v>
      </c>
      <c r="H160" s="13">
        <f t="shared" si="91"/>
        <v>23.52</v>
      </c>
      <c r="J160" s="9"/>
    </row>
    <row r="161" spans="1:10" s="10" customFormat="1" ht="31.2" x14ac:dyDescent="0.3">
      <c r="A161" s="30" t="s">
        <v>232</v>
      </c>
      <c r="B161" s="83" t="s">
        <v>63</v>
      </c>
      <c r="C161" s="99">
        <v>9065700</v>
      </c>
      <c r="D161" s="99">
        <v>9065700</v>
      </c>
      <c r="E161" s="13">
        <v>5898621</v>
      </c>
      <c r="F161" s="13">
        <f t="shared" si="89"/>
        <v>3167079</v>
      </c>
      <c r="G161" s="13">
        <f t="shared" si="90"/>
        <v>65.069999999999993</v>
      </c>
      <c r="H161" s="13">
        <f t="shared" si="91"/>
        <v>65.069999999999993</v>
      </c>
      <c r="J161" s="9"/>
    </row>
    <row r="162" spans="1:10" s="10" customFormat="1" ht="93.6" x14ac:dyDescent="0.3">
      <c r="A162" s="4" t="s">
        <v>322</v>
      </c>
      <c r="B162" s="81" t="s">
        <v>323</v>
      </c>
      <c r="C162" s="99">
        <f>245877.99</f>
        <v>245877.99</v>
      </c>
      <c r="D162" s="99">
        <f t="shared" ref="D162:E162" si="109">245877.99-245877.99</f>
        <v>0</v>
      </c>
      <c r="E162" s="13">
        <f t="shared" si="109"/>
        <v>0</v>
      </c>
      <c r="F162" s="13">
        <f t="shared" si="89"/>
        <v>0</v>
      </c>
      <c r="G162" s="13">
        <f t="shared" si="90"/>
        <v>0</v>
      </c>
      <c r="H162" s="13" t="s">
        <v>434</v>
      </c>
      <c r="J162" s="9"/>
    </row>
    <row r="163" spans="1:10" s="10" customFormat="1" ht="31.2" x14ac:dyDescent="0.3">
      <c r="A163" s="25" t="s">
        <v>159</v>
      </c>
      <c r="B163" s="95" t="s">
        <v>89</v>
      </c>
      <c r="C163" s="100">
        <f>C164+C165</f>
        <v>120000000</v>
      </c>
      <c r="D163" s="100">
        <f t="shared" ref="D163:E163" si="110">D164+D165</f>
        <v>120000000</v>
      </c>
      <c r="E163" s="19">
        <f t="shared" si="110"/>
        <v>50829898.640000001</v>
      </c>
      <c r="F163" s="19">
        <f t="shared" si="89"/>
        <v>69170101.359999999</v>
      </c>
      <c r="G163" s="19">
        <f t="shared" si="90"/>
        <v>42.36</v>
      </c>
      <c r="H163" s="19">
        <f t="shared" si="91"/>
        <v>42.36</v>
      </c>
      <c r="J163" s="9"/>
    </row>
    <row r="164" spans="1:10" s="15" customFormat="1" ht="46.8" x14ac:dyDescent="0.3">
      <c r="A164" s="23" t="s">
        <v>420</v>
      </c>
      <c r="B164" s="87" t="s">
        <v>418</v>
      </c>
      <c r="C164" s="99">
        <v>108000000</v>
      </c>
      <c r="D164" s="99">
        <v>108000000</v>
      </c>
      <c r="E164" s="13">
        <v>45279862.18</v>
      </c>
      <c r="F164" s="13">
        <f t="shared" si="89"/>
        <v>62720137.82</v>
      </c>
      <c r="G164" s="13">
        <f t="shared" si="90"/>
        <v>41.93</v>
      </c>
      <c r="H164" s="13">
        <f t="shared" si="91"/>
        <v>41.93</v>
      </c>
      <c r="J164" s="9"/>
    </row>
    <row r="165" spans="1:10" s="15" customFormat="1" ht="46.8" x14ac:dyDescent="0.3">
      <c r="A165" s="40" t="s">
        <v>419</v>
      </c>
      <c r="B165" s="87" t="s">
        <v>418</v>
      </c>
      <c r="C165" s="99">
        <v>12000000</v>
      </c>
      <c r="D165" s="99">
        <v>12000000</v>
      </c>
      <c r="E165" s="13">
        <v>5550036.46</v>
      </c>
      <c r="F165" s="13">
        <f t="shared" si="89"/>
        <v>6449963.54</v>
      </c>
      <c r="G165" s="13">
        <f t="shared" si="90"/>
        <v>46.25</v>
      </c>
      <c r="H165" s="13">
        <f t="shared" si="91"/>
        <v>46.25</v>
      </c>
      <c r="J165" s="9"/>
    </row>
    <row r="166" spans="1:10" s="10" customFormat="1" ht="46.8" x14ac:dyDescent="0.3">
      <c r="A166" s="17" t="s">
        <v>316</v>
      </c>
      <c r="B166" s="77" t="s">
        <v>64</v>
      </c>
      <c r="C166" s="100">
        <f>C167+C171</f>
        <v>8510612.4000000004</v>
      </c>
      <c r="D166" s="100">
        <f t="shared" ref="D166:E166" si="111">D167+D171</f>
        <v>8528549.3300000001</v>
      </c>
      <c r="E166" s="19">
        <f t="shared" si="111"/>
        <v>806754</v>
      </c>
      <c r="F166" s="19">
        <f t="shared" si="89"/>
        <v>7721795.3300000001</v>
      </c>
      <c r="G166" s="19">
        <f t="shared" si="90"/>
        <v>9.48</v>
      </c>
      <c r="H166" s="19">
        <f t="shared" si="91"/>
        <v>9.4600000000000009</v>
      </c>
      <c r="J166" s="9"/>
    </row>
    <row r="167" spans="1:10" s="10" customFormat="1" ht="46.8" x14ac:dyDescent="0.3">
      <c r="A167" s="17" t="s">
        <v>317</v>
      </c>
      <c r="B167" s="89" t="s">
        <v>65</v>
      </c>
      <c r="C167" s="100">
        <f>C168</f>
        <v>7565799.46</v>
      </c>
      <c r="D167" s="100">
        <f t="shared" ref="D167:E167" si="112">D168</f>
        <v>7721795.3300000001</v>
      </c>
      <c r="E167" s="19">
        <f t="shared" si="112"/>
        <v>0</v>
      </c>
      <c r="F167" s="19">
        <f t="shared" si="89"/>
        <v>7721795.3300000001</v>
      </c>
      <c r="G167" s="19">
        <f t="shared" si="90"/>
        <v>0</v>
      </c>
      <c r="H167" s="19">
        <f t="shared" si="91"/>
        <v>0</v>
      </c>
      <c r="J167" s="9"/>
    </row>
    <row r="168" spans="1:10" s="10" customFormat="1" ht="31.2" x14ac:dyDescent="0.3">
      <c r="A168" s="17" t="s">
        <v>335</v>
      </c>
      <c r="B168" s="89" t="s">
        <v>115</v>
      </c>
      <c r="C168" s="100">
        <f>C169+C170</f>
        <v>7565799.46</v>
      </c>
      <c r="D168" s="100">
        <f t="shared" ref="D168:E168" si="113">D169+D170</f>
        <v>7721795.3300000001</v>
      </c>
      <c r="E168" s="19">
        <f t="shared" si="113"/>
        <v>0</v>
      </c>
      <c r="F168" s="19">
        <f t="shared" si="89"/>
        <v>7721795.3300000001</v>
      </c>
      <c r="G168" s="19">
        <f t="shared" si="90"/>
        <v>0</v>
      </c>
      <c r="H168" s="19">
        <f t="shared" si="91"/>
        <v>0</v>
      </c>
      <c r="J168" s="9"/>
    </row>
    <row r="169" spans="1:10" s="15" customFormat="1" ht="46.8" x14ac:dyDescent="0.3">
      <c r="A169" s="23" t="s">
        <v>380</v>
      </c>
      <c r="B169" s="82" t="s">
        <v>117</v>
      </c>
      <c r="C169" s="99">
        <v>7490141.4699999997</v>
      </c>
      <c r="D169" s="99">
        <v>7490141.4699999997</v>
      </c>
      <c r="E169" s="13">
        <v>0</v>
      </c>
      <c r="F169" s="13">
        <f t="shared" si="89"/>
        <v>7490141.4699999997</v>
      </c>
      <c r="G169" s="13">
        <f t="shared" si="90"/>
        <v>0</v>
      </c>
      <c r="H169" s="13">
        <f t="shared" si="91"/>
        <v>0</v>
      </c>
      <c r="J169" s="9"/>
    </row>
    <row r="170" spans="1:10" s="15" customFormat="1" ht="46.8" x14ac:dyDescent="0.3">
      <c r="A170" s="23" t="s">
        <v>140</v>
      </c>
      <c r="B170" s="83" t="s">
        <v>117</v>
      </c>
      <c r="C170" s="99">
        <f>75657.99</f>
        <v>75657.990000000005</v>
      </c>
      <c r="D170" s="99">
        <f t="shared" ref="D170" si="114">75657.99+155995.87</f>
        <v>231653.86</v>
      </c>
      <c r="E170" s="13">
        <v>0</v>
      </c>
      <c r="F170" s="13">
        <f t="shared" si="89"/>
        <v>231653.86</v>
      </c>
      <c r="G170" s="13">
        <f t="shared" si="90"/>
        <v>0</v>
      </c>
      <c r="H170" s="13">
        <f t="shared" si="91"/>
        <v>0</v>
      </c>
      <c r="J170" s="9"/>
    </row>
    <row r="171" spans="1:10" s="10" customFormat="1" ht="31.2" x14ac:dyDescent="0.3">
      <c r="A171" s="25" t="s">
        <v>318</v>
      </c>
      <c r="B171" s="77" t="s">
        <v>320</v>
      </c>
      <c r="C171" s="98">
        <f>C172</f>
        <v>944812.94</v>
      </c>
      <c r="D171" s="98">
        <f t="shared" ref="D171:E171" si="115">D172</f>
        <v>806754</v>
      </c>
      <c r="E171" s="7">
        <f t="shared" si="115"/>
        <v>806754</v>
      </c>
      <c r="F171" s="7">
        <f t="shared" si="89"/>
        <v>0</v>
      </c>
      <c r="G171" s="7">
        <f t="shared" si="90"/>
        <v>85.39</v>
      </c>
      <c r="H171" s="7">
        <f t="shared" si="91"/>
        <v>100</v>
      </c>
      <c r="J171" s="9"/>
    </row>
    <row r="172" spans="1:10" s="10" customFormat="1" ht="46.8" x14ac:dyDescent="0.3">
      <c r="A172" s="41" t="s">
        <v>319</v>
      </c>
      <c r="B172" s="77" t="s">
        <v>321</v>
      </c>
      <c r="C172" s="98">
        <f>C173+C174</f>
        <v>944812.94</v>
      </c>
      <c r="D172" s="98">
        <f t="shared" ref="D172:E172" si="116">D173+D174</f>
        <v>806754</v>
      </c>
      <c r="E172" s="7">
        <f t="shared" si="116"/>
        <v>806754</v>
      </c>
      <c r="F172" s="7">
        <f t="shared" si="89"/>
        <v>0</v>
      </c>
      <c r="G172" s="7">
        <f t="shared" si="90"/>
        <v>85.39</v>
      </c>
      <c r="H172" s="7">
        <f t="shared" si="91"/>
        <v>100</v>
      </c>
      <c r="J172" s="9"/>
    </row>
    <row r="173" spans="1:10" s="15" customFormat="1" ht="78" x14ac:dyDescent="0.3">
      <c r="A173" s="37" t="s">
        <v>141</v>
      </c>
      <c r="B173" s="78" t="s">
        <v>332</v>
      </c>
      <c r="C173" s="99">
        <f>897572.29</f>
        <v>897572.29</v>
      </c>
      <c r="D173" s="99">
        <f t="shared" ref="D173:E173" si="117">897572.29-494195.29</f>
        <v>403377</v>
      </c>
      <c r="E173" s="13">
        <f t="shared" si="117"/>
        <v>403377</v>
      </c>
      <c r="F173" s="13">
        <f t="shared" si="89"/>
        <v>0</v>
      </c>
      <c r="G173" s="13">
        <f t="shared" si="90"/>
        <v>44.94</v>
      </c>
      <c r="H173" s="13">
        <f t="shared" si="91"/>
        <v>100</v>
      </c>
      <c r="J173" s="9"/>
    </row>
    <row r="174" spans="1:10" s="15" customFormat="1" ht="62.4" x14ac:dyDescent="0.3">
      <c r="A174" s="37" t="s">
        <v>142</v>
      </c>
      <c r="B174" s="78" t="s">
        <v>332</v>
      </c>
      <c r="C174" s="99">
        <v>47240.65</v>
      </c>
      <c r="D174" s="99">
        <v>403377</v>
      </c>
      <c r="E174" s="13">
        <v>403377</v>
      </c>
      <c r="F174" s="13">
        <f t="shared" si="89"/>
        <v>0</v>
      </c>
      <c r="G174" s="13">
        <f t="shared" si="90"/>
        <v>853.88</v>
      </c>
      <c r="H174" s="13">
        <f t="shared" si="91"/>
        <v>100</v>
      </c>
      <c r="J174" s="9"/>
    </row>
    <row r="175" spans="1:10" s="10" customFormat="1" ht="46.8" x14ac:dyDescent="0.3">
      <c r="A175" s="17" t="s">
        <v>391</v>
      </c>
      <c r="B175" s="77" t="s">
        <v>389</v>
      </c>
      <c r="C175" s="100">
        <f>C176</f>
        <v>0</v>
      </c>
      <c r="D175" s="100">
        <f t="shared" ref="D175:E177" si="118">D176</f>
        <v>1744041.67</v>
      </c>
      <c r="E175" s="19">
        <f t="shared" si="118"/>
        <v>553565</v>
      </c>
      <c r="F175" s="19">
        <f t="shared" si="89"/>
        <v>1190476.67</v>
      </c>
      <c r="G175" s="19" t="s">
        <v>434</v>
      </c>
      <c r="H175" s="19">
        <f t="shared" si="91"/>
        <v>31.74</v>
      </c>
      <c r="J175" s="9"/>
    </row>
    <row r="176" spans="1:10" s="10" customFormat="1" ht="31.2" x14ac:dyDescent="0.3">
      <c r="A176" s="17" t="s">
        <v>392</v>
      </c>
      <c r="B176" s="89" t="s">
        <v>390</v>
      </c>
      <c r="C176" s="100">
        <f>C177</f>
        <v>0</v>
      </c>
      <c r="D176" s="100">
        <f t="shared" si="118"/>
        <v>1744041.67</v>
      </c>
      <c r="E176" s="19">
        <f t="shared" si="118"/>
        <v>553565</v>
      </c>
      <c r="F176" s="19">
        <f t="shared" si="89"/>
        <v>1190476.67</v>
      </c>
      <c r="G176" s="19" t="s">
        <v>434</v>
      </c>
      <c r="H176" s="19">
        <f t="shared" si="91"/>
        <v>31.74</v>
      </c>
      <c r="J176" s="9"/>
    </row>
    <row r="177" spans="1:10" s="10" customFormat="1" ht="46.8" x14ac:dyDescent="0.3">
      <c r="A177" s="17" t="s">
        <v>393</v>
      </c>
      <c r="B177" s="89" t="s">
        <v>394</v>
      </c>
      <c r="C177" s="100">
        <f>C178</f>
        <v>0</v>
      </c>
      <c r="D177" s="100">
        <f t="shared" si="118"/>
        <v>1744041.67</v>
      </c>
      <c r="E177" s="19">
        <f t="shared" si="118"/>
        <v>553565</v>
      </c>
      <c r="F177" s="19">
        <f t="shared" si="89"/>
        <v>1190476.67</v>
      </c>
      <c r="G177" s="19" t="s">
        <v>434</v>
      </c>
      <c r="H177" s="19">
        <f t="shared" si="91"/>
        <v>31.74</v>
      </c>
      <c r="J177" s="9"/>
    </row>
    <row r="178" spans="1:10" s="15" customFormat="1" ht="31.2" x14ac:dyDescent="0.3">
      <c r="A178" s="23" t="s">
        <v>396</v>
      </c>
      <c r="B178" s="82" t="s">
        <v>395</v>
      </c>
      <c r="C178" s="99">
        <v>0</v>
      </c>
      <c r="D178" s="99">
        <v>1744041.67</v>
      </c>
      <c r="E178" s="13">
        <v>553565</v>
      </c>
      <c r="F178" s="13">
        <f t="shared" si="89"/>
        <v>1190476.67</v>
      </c>
      <c r="G178" s="13" t="s">
        <v>434</v>
      </c>
      <c r="H178" s="13">
        <f t="shared" si="91"/>
        <v>31.74</v>
      </c>
      <c r="J178" s="9"/>
    </row>
    <row r="179" spans="1:10" s="10" customFormat="1" ht="46.8" x14ac:dyDescent="0.3">
      <c r="A179" s="17" t="s">
        <v>234</v>
      </c>
      <c r="B179" s="89" t="s">
        <v>66</v>
      </c>
      <c r="C179" s="98">
        <f>C180</f>
        <v>4016.6</v>
      </c>
      <c r="D179" s="98">
        <f t="shared" ref="D179:E181" si="119">D180</f>
        <v>4016.6</v>
      </c>
      <c r="E179" s="7">
        <f t="shared" si="119"/>
        <v>0</v>
      </c>
      <c r="F179" s="7">
        <f t="shared" si="89"/>
        <v>4016.6</v>
      </c>
      <c r="G179" s="7">
        <f t="shared" si="90"/>
        <v>0</v>
      </c>
      <c r="H179" s="7">
        <f t="shared" si="91"/>
        <v>0</v>
      </c>
      <c r="J179" s="9"/>
    </row>
    <row r="180" spans="1:10" s="10" customFormat="1" ht="46.8" x14ac:dyDescent="0.3">
      <c r="A180" s="42" t="s">
        <v>235</v>
      </c>
      <c r="B180" s="89" t="s">
        <v>167</v>
      </c>
      <c r="C180" s="98">
        <f>C181</f>
        <v>4016.6</v>
      </c>
      <c r="D180" s="98">
        <f t="shared" si="119"/>
        <v>4016.6</v>
      </c>
      <c r="E180" s="7">
        <f t="shared" si="119"/>
        <v>0</v>
      </c>
      <c r="F180" s="7">
        <f t="shared" si="89"/>
        <v>4016.6</v>
      </c>
      <c r="G180" s="7">
        <f t="shared" si="90"/>
        <v>0</v>
      </c>
      <c r="H180" s="7">
        <f t="shared" si="91"/>
        <v>0</v>
      </c>
      <c r="J180" s="9"/>
    </row>
    <row r="181" spans="1:10" s="10" customFormat="1" ht="31.2" x14ac:dyDescent="0.3">
      <c r="A181" s="22" t="s">
        <v>168</v>
      </c>
      <c r="B181" s="89" t="s">
        <v>169</v>
      </c>
      <c r="C181" s="98">
        <f>C182</f>
        <v>4016.6</v>
      </c>
      <c r="D181" s="98">
        <f t="shared" si="119"/>
        <v>4016.6</v>
      </c>
      <c r="E181" s="7">
        <f t="shared" si="119"/>
        <v>0</v>
      </c>
      <c r="F181" s="7">
        <f t="shared" si="89"/>
        <v>4016.6</v>
      </c>
      <c r="G181" s="7">
        <f t="shared" si="90"/>
        <v>0</v>
      </c>
      <c r="H181" s="7">
        <f t="shared" si="91"/>
        <v>0</v>
      </c>
      <c r="J181" s="9"/>
    </row>
    <row r="182" spans="1:10" s="15" customFormat="1" ht="31.2" x14ac:dyDescent="0.3">
      <c r="A182" s="30" t="s">
        <v>170</v>
      </c>
      <c r="B182" s="83" t="s">
        <v>374</v>
      </c>
      <c r="C182" s="99">
        <v>4016.6</v>
      </c>
      <c r="D182" s="99">
        <v>4016.6</v>
      </c>
      <c r="E182" s="13">
        <v>0</v>
      </c>
      <c r="F182" s="13">
        <f t="shared" si="89"/>
        <v>4016.6</v>
      </c>
      <c r="G182" s="13">
        <f t="shared" si="90"/>
        <v>0</v>
      </c>
      <c r="H182" s="13">
        <f t="shared" si="91"/>
        <v>0</v>
      </c>
      <c r="J182" s="9"/>
    </row>
    <row r="183" spans="1:10" s="10" customFormat="1" ht="46.8" x14ac:dyDescent="0.3">
      <c r="A183" s="25" t="s">
        <v>277</v>
      </c>
      <c r="B183" s="77" t="s">
        <v>48</v>
      </c>
      <c r="C183" s="100">
        <f>C184</f>
        <v>164000</v>
      </c>
      <c r="D183" s="100">
        <f t="shared" ref="D183:E183" si="120">D184</f>
        <v>164000</v>
      </c>
      <c r="E183" s="19">
        <f t="shared" si="120"/>
        <v>38317</v>
      </c>
      <c r="F183" s="19">
        <f t="shared" si="89"/>
        <v>125683</v>
      </c>
      <c r="G183" s="19">
        <f t="shared" si="90"/>
        <v>23.36</v>
      </c>
      <c r="H183" s="19">
        <f t="shared" si="91"/>
        <v>23.36</v>
      </c>
      <c r="J183" s="9"/>
    </row>
    <row r="184" spans="1:10" s="10" customFormat="1" ht="62.4" x14ac:dyDescent="0.3">
      <c r="A184" s="25" t="s">
        <v>278</v>
      </c>
      <c r="B184" s="77" t="s">
        <v>56</v>
      </c>
      <c r="C184" s="100">
        <f>C185+C187</f>
        <v>164000</v>
      </c>
      <c r="D184" s="100">
        <f t="shared" ref="D184:E184" si="121">D185+D187</f>
        <v>164000</v>
      </c>
      <c r="E184" s="19">
        <f t="shared" si="121"/>
        <v>38317</v>
      </c>
      <c r="F184" s="19">
        <f t="shared" si="89"/>
        <v>125683</v>
      </c>
      <c r="G184" s="19">
        <f t="shared" si="90"/>
        <v>23.36</v>
      </c>
      <c r="H184" s="19">
        <f t="shared" si="91"/>
        <v>23.36</v>
      </c>
      <c r="J184" s="9"/>
    </row>
    <row r="185" spans="1:10" s="10" customFormat="1" ht="46.8" x14ac:dyDescent="0.3">
      <c r="A185" s="22" t="s">
        <v>279</v>
      </c>
      <c r="B185" s="89" t="s">
        <v>281</v>
      </c>
      <c r="C185" s="98">
        <f>C186</f>
        <v>124000</v>
      </c>
      <c r="D185" s="98">
        <f t="shared" ref="D185:E185" si="122">D186</f>
        <v>124000</v>
      </c>
      <c r="E185" s="7">
        <f t="shared" si="122"/>
        <v>38317</v>
      </c>
      <c r="F185" s="7">
        <f t="shared" si="89"/>
        <v>85683</v>
      </c>
      <c r="G185" s="7">
        <f t="shared" si="90"/>
        <v>30.9</v>
      </c>
      <c r="H185" s="7">
        <f t="shared" si="91"/>
        <v>30.9</v>
      </c>
      <c r="J185" s="9"/>
    </row>
    <row r="186" spans="1:10" s="15" customFormat="1" ht="46.8" x14ac:dyDescent="0.3">
      <c r="A186" s="30" t="s">
        <v>282</v>
      </c>
      <c r="B186" s="83" t="s">
        <v>280</v>
      </c>
      <c r="C186" s="99">
        <v>124000</v>
      </c>
      <c r="D186" s="99">
        <v>124000</v>
      </c>
      <c r="E186" s="13">
        <v>38317</v>
      </c>
      <c r="F186" s="13">
        <f t="shared" si="89"/>
        <v>85683</v>
      </c>
      <c r="G186" s="13">
        <f t="shared" si="90"/>
        <v>30.9</v>
      </c>
      <c r="H186" s="13">
        <f t="shared" si="91"/>
        <v>30.9</v>
      </c>
      <c r="J186" s="9"/>
    </row>
    <row r="187" spans="1:10" s="10" customFormat="1" ht="62.4" x14ac:dyDescent="0.3">
      <c r="A187" s="22" t="s">
        <v>283</v>
      </c>
      <c r="B187" s="89" t="s">
        <v>354</v>
      </c>
      <c r="C187" s="98">
        <f>C188</f>
        <v>40000</v>
      </c>
      <c r="D187" s="98">
        <f t="shared" ref="D187:E187" si="123">D188</f>
        <v>40000</v>
      </c>
      <c r="E187" s="7">
        <f t="shared" si="123"/>
        <v>0</v>
      </c>
      <c r="F187" s="7">
        <f t="shared" si="89"/>
        <v>40000</v>
      </c>
      <c r="G187" s="7">
        <f t="shared" si="90"/>
        <v>0</v>
      </c>
      <c r="H187" s="7">
        <f t="shared" si="91"/>
        <v>0</v>
      </c>
      <c r="J187" s="9"/>
    </row>
    <row r="188" spans="1:10" s="15" customFormat="1" ht="15.6" x14ac:dyDescent="0.3">
      <c r="A188" s="30" t="s">
        <v>42</v>
      </c>
      <c r="B188" s="83" t="s">
        <v>57</v>
      </c>
      <c r="C188" s="99">
        <v>40000</v>
      </c>
      <c r="D188" s="99">
        <v>40000</v>
      </c>
      <c r="E188" s="13">
        <v>0</v>
      </c>
      <c r="F188" s="13">
        <f t="shared" si="89"/>
        <v>40000</v>
      </c>
      <c r="G188" s="13">
        <f t="shared" si="90"/>
        <v>0</v>
      </c>
      <c r="H188" s="13">
        <f t="shared" si="91"/>
        <v>0</v>
      </c>
      <c r="J188" s="9"/>
    </row>
    <row r="189" spans="1:10" s="10" customFormat="1" ht="62.4" x14ac:dyDescent="0.3">
      <c r="A189" s="43" t="s">
        <v>379</v>
      </c>
      <c r="B189" s="95" t="s">
        <v>217</v>
      </c>
      <c r="C189" s="100">
        <f>C190</f>
        <v>3084887.01</v>
      </c>
      <c r="D189" s="100">
        <f t="shared" ref="D189:E190" si="124">D190</f>
        <v>2450467.4900000002</v>
      </c>
      <c r="E189" s="19">
        <f t="shared" si="124"/>
        <v>2450467.4900000002</v>
      </c>
      <c r="F189" s="19">
        <f t="shared" si="89"/>
        <v>0</v>
      </c>
      <c r="G189" s="19">
        <f t="shared" si="90"/>
        <v>79.430000000000007</v>
      </c>
      <c r="H189" s="19">
        <f t="shared" si="91"/>
        <v>100</v>
      </c>
      <c r="J189" s="9"/>
    </row>
    <row r="190" spans="1:10" s="10" customFormat="1" ht="46.8" x14ac:dyDescent="0.3">
      <c r="A190" s="43" t="s">
        <v>359</v>
      </c>
      <c r="B190" s="95" t="s">
        <v>216</v>
      </c>
      <c r="C190" s="100">
        <f>C191</f>
        <v>3084887.01</v>
      </c>
      <c r="D190" s="100">
        <f t="shared" si="124"/>
        <v>2450467.4900000002</v>
      </c>
      <c r="E190" s="19">
        <f t="shared" si="124"/>
        <v>2450467.4900000002</v>
      </c>
      <c r="F190" s="19">
        <f t="shared" si="89"/>
        <v>0</v>
      </c>
      <c r="G190" s="19">
        <f t="shared" si="90"/>
        <v>79.430000000000007</v>
      </c>
      <c r="H190" s="19">
        <f t="shared" si="91"/>
        <v>100</v>
      </c>
      <c r="J190" s="9"/>
    </row>
    <row r="191" spans="1:10" s="10" customFormat="1" ht="62.4" x14ac:dyDescent="0.3">
      <c r="A191" s="43" t="s">
        <v>218</v>
      </c>
      <c r="B191" s="95" t="s">
        <v>145</v>
      </c>
      <c r="C191" s="100">
        <f>C192+C193+C194</f>
        <v>3084887.01</v>
      </c>
      <c r="D191" s="100">
        <f t="shared" ref="D191:E191" si="125">D192+D193+D194</f>
        <v>2450467.4900000002</v>
      </c>
      <c r="E191" s="19">
        <f t="shared" si="125"/>
        <v>2450467.4900000002</v>
      </c>
      <c r="F191" s="19">
        <f t="shared" si="89"/>
        <v>0</v>
      </c>
      <c r="G191" s="19">
        <f t="shared" si="90"/>
        <v>79.430000000000007</v>
      </c>
      <c r="H191" s="19">
        <f t="shared" si="91"/>
        <v>100</v>
      </c>
      <c r="J191" s="9"/>
    </row>
    <row r="192" spans="1:10" s="15" customFormat="1" ht="31.2" x14ac:dyDescent="0.3">
      <c r="A192" s="12" t="s">
        <v>143</v>
      </c>
      <c r="B192" s="87" t="s">
        <v>355</v>
      </c>
      <c r="C192" s="101">
        <f>1000</f>
        <v>1000</v>
      </c>
      <c r="D192" s="101">
        <f t="shared" ref="D192:E192" si="126">1000+117113.26</f>
        <v>118113.26</v>
      </c>
      <c r="E192" s="20">
        <f t="shared" si="126"/>
        <v>118113.26</v>
      </c>
      <c r="F192" s="20">
        <f t="shared" si="89"/>
        <v>0</v>
      </c>
      <c r="G192" s="20">
        <f t="shared" si="90"/>
        <v>11811.33</v>
      </c>
      <c r="H192" s="20">
        <f t="shared" si="91"/>
        <v>100</v>
      </c>
      <c r="J192" s="9"/>
    </row>
    <row r="193" spans="1:10" s="15" customFormat="1" ht="62.4" x14ac:dyDescent="0.3">
      <c r="A193" s="23" t="s">
        <v>381</v>
      </c>
      <c r="B193" s="87" t="s">
        <v>144</v>
      </c>
      <c r="C193" s="101">
        <f>2929692.66</f>
        <v>2929692.66</v>
      </c>
      <c r="D193" s="101">
        <f t="shared" ref="D193:E193" si="127">2929692.66-667309.06</f>
        <v>2262383.6</v>
      </c>
      <c r="E193" s="20">
        <f t="shared" si="127"/>
        <v>2262383.6</v>
      </c>
      <c r="F193" s="20">
        <f t="shared" si="89"/>
        <v>0</v>
      </c>
      <c r="G193" s="20">
        <f t="shared" si="90"/>
        <v>77.22</v>
      </c>
      <c r="H193" s="20">
        <f t="shared" si="91"/>
        <v>100</v>
      </c>
      <c r="J193" s="9"/>
    </row>
    <row r="194" spans="1:10" s="10" customFormat="1" ht="46.8" x14ac:dyDescent="0.3">
      <c r="A194" s="12" t="s">
        <v>356</v>
      </c>
      <c r="B194" s="87" t="s">
        <v>144</v>
      </c>
      <c r="C194" s="101">
        <f>154194.35</f>
        <v>154194.35</v>
      </c>
      <c r="D194" s="101">
        <f t="shared" ref="D194:E194" si="128">154194.35-84223.72</f>
        <v>69970.63</v>
      </c>
      <c r="E194" s="20">
        <f t="shared" si="128"/>
        <v>69970.63</v>
      </c>
      <c r="F194" s="20">
        <f t="shared" si="89"/>
        <v>0</v>
      </c>
      <c r="G194" s="20">
        <f t="shared" si="90"/>
        <v>45.38</v>
      </c>
      <c r="H194" s="20">
        <f t="shared" si="91"/>
        <v>100</v>
      </c>
      <c r="J194" s="9"/>
    </row>
    <row r="195" spans="1:10" s="10" customFormat="1" ht="46.8" x14ac:dyDescent="0.3">
      <c r="A195" s="25" t="s">
        <v>360</v>
      </c>
      <c r="B195" s="77" t="s">
        <v>118</v>
      </c>
      <c r="C195" s="98">
        <f>C196</f>
        <v>14497456.58</v>
      </c>
      <c r="D195" s="98">
        <f t="shared" ref="D195:E195" si="129">D196</f>
        <v>20375219.690000001</v>
      </c>
      <c r="E195" s="7">
        <f t="shared" si="129"/>
        <v>15418400.42</v>
      </c>
      <c r="F195" s="7">
        <f t="shared" si="89"/>
        <v>4956819.2699999996</v>
      </c>
      <c r="G195" s="7">
        <f t="shared" si="90"/>
        <v>106.35</v>
      </c>
      <c r="H195" s="7">
        <f t="shared" si="91"/>
        <v>75.67</v>
      </c>
      <c r="J195" s="9"/>
    </row>
    <row r="196" spans="1:10" s="10" customFormat="1" ht="31.2" x14ac:dyDescent="0.3">
      <c r="A196" s="25" t="s">
        <v>368</v>
      </c>
      <c r="B196" s="77" t="s">
        <v>313</v>
      </c>
      <c r="C196" s="98">
        <f>C197+C200</f>
        <v>14497456.58</v>
      </c>
      <c r="D196" s="98">
        <f t="shared" ref="D196:E196" si="130">D197+D200</f>
        <v>20375219.690000001</v>
      </c>
      <c r="E196" s="7">
        <f t="shared" si="130"/>
        <v>15418400.42</v>
      </c>
      <c r="F196" s="7">
        <f t="shared" si="89"/>
        <v>4956819.2699999996</v>
      </c>
      <c r="G196" s="7">
        <f t="shared" si="90"/>
        <v>106.35</v>
      </c>
      <c r="H196" s="7">
        <f t="shared" si="91"/>
        <v>75.67</v>
      </c>
      <c r="J196" s="9"/>
    </row>
    <row r="197" spans="1:10" s="10" customFormat="1" ht="46.8" x14ac:dyDescent="0.3">
      <c r="A197" s="25" t="s">
        <v>361</v>
      </c>
      <c r="B197" s="77" t="s">
        <v>314</v>
      </c>
      <c r="C197" s="98">
        <f>C198+C199</f>
        <v>14497456.58</v>
      </c>
      <c r="D197" s="98">
        <f t="shared" ref="D197:E197" si="131">D198+D199</f>
        <v>14344916.65</v>
      </c>
      <c r="E197" s="7">
        <f t="shared" si="131"/>
        <v>13146885.27</v>
      </c>
      <c r="F197" s="7">
        <f t="shared" si="89"/>
        <v>1198031.3799999999</v>
      </c>
      <c r="G197" s="7">
        <f t="shared" si="90"/>
        <v>90.68</v>
      </c>
      <c r="H197" s="7">
        <f t="shared" si="91"/>
        <v>91.65</v>
      </c>
      <c r="J197" s="9"/>
    </row>
    <row r="198" spans="1:10" s="10" customFormat="1" ht="46.8" x14ac:dyDescent="0.3">
      <c r="A198" s="12" t="s">
        <v>146</v>
      </c>
      <c r="B198" s="78" t="s">
        <v>315</v>
      </c>
      <c r="C198" s="99">
        <f>13772583.75</f>
        <v>13772583.75</v>
      </c>
      <c r="D198" s="99">
        <f t="shared" ref="D198" si="132">13772583.75+141985.4</f>
        <v>13914569.15</v>
      </c>
      <c r="E198" s="13">
        <v>12752478.710000001</v>
      </c>
      <c r="F198" s="13">
        <f t="shared" si="89"/>
        <v>1162090.44</v>
      </c>
      <c r="G198" s="13">
        <f t="shared" si="90"/>
        <v>92.59</v>
      </c>
      <c r="H198" s="13">
        <f t="shared" si="91"/>
        <v>91.65</v>
      </c>
      <c r="J198" s="9"/>
    </row>
    <row r="199" spans="1:10" s="10" customFormat="1" ht="46.8" x14ac:dyDescent="0.3">
      <c r="A199" s="12" t="s">
        <v>147</v>
      </c>
      <c r="B199" s="78" t="s">
        <v>315</v>
      </c>
      <c r="C199" s="99">
        <f>724872.83</f>
        <v>724872.83</v>
      </c>
      <c r="D199" s="99">
        <f t="shared" ref="D199" si="133">724872.83-294525.33</f>
        <v>430347.5</v>
      </c>
      <c r="E199" s="13">
        <v>394406.56</v>
      </c>
      <c r="F199" s="13">
        <f t="shared" si="89"/>
        <v>35940.94</v>
      </c>
      <c r="G199" s="13">
        <f t="shared" si="90"/>
        <v>54.41</v>
      </c>
      <c r="H199" s="13">
        <f t="shared" si="91"/>
        <v>91.65</v>
      </c>
      <c r="J199" s="9"/>
    </row>
    <row r="200" spans="1:10" s="10" customFormat="1" ht="46.8" x14ac:dyDescent="0.3">
      <c r="A200" s="25" t="s">
        <v>398</v>
      </c>
      <c r="B200" s="77" t="s">
        <v>397</v>
      </c>
      <c r="C200" s="98">
        <f>C201+C202+C203+C204</f>
        <v>0</v>
      </c>
      <c r="D200" s="98">
        <f t="shared" ref="D200:E200" si="134">D201+D202+D203+D204</f>
        <v>6030303.04</v>
      </c>
      <c r="E200" s="7">
        <f t="shared" si="134"/>
        <v>2271515.15</v>
      </c>
      <c r="F200" s="7">
        <f t="shared" ref="F200:F234" si="135">$D200-$E200</f>
        <v>3758787.89</v>
      </c>
      <c r="G200" s="7" t="s">
        <v>434</v>
      </c>
      <c r="H200" s="7">
        <f t="shared" ref="H200:H234" si="136">$E200/$D200*100</f>
        <v>37.67</v>
      </c>
      <c r="J200" s="9"/>
    </row>
    <row r="201" spans="1:10" s="10" customFormat="1" ht="46.8" x14ac:dyDescent="0.3">
      <c r="A201" s="12" t="s">
        <v>401</v>
      </c>
      <c r="B201" s="78" t="s">
        <v>399</v>
      </c>
      <c r="C201" s="99">
        <v>0</v>
      </c>
      <c r="D201" s="99">
        <v>2970000</v>
      </c>
      <c r="E201" s="13">
        <v>2227500</v>
      </c>
      <c r="F201" s="13">
        <f t="shared" si="135"/>
        <v>742500</v>
      </c>
      <c r="G201" s="13" t="s">
        <v>434</v>
      </c>
      <c r="H201" s="13">
        <f t="shared" si="136"/>
        <v>75</v>
      </c>
      <c r="J201" s="9"/>
    </row>
    <row r="202" spans="1:10" s="10" customFormat="1" ht="62.4" x14ac:dyDescent="0.3">
      <c r="A202" s="12" t="s">
        <v>402</v>
      </c>
      <c r="B202" s="78" t="s">
        <v>399</v>
      </c>
      <c r="C202" s="99">
        <v>0</v>
      </c>
      <c r="D202" s="99">
        <v>30000</v>
      </c>
      <c r="E202" s="13">
        <v>22500</v>
      </c>
      <c r="F202" s="13">
        <f t="shared" si="135"/>
        <v>7500</v>
      </c>
      <c r="G202" s="13" t="s">
        <v>434</v>
      </c>
      <c r="H202" s="13">
        <f t="shared" si="136"/>
        <v>75</v>
      </c>
      <c r="J202" s="9"/>
    </row>
    <row r="203" spans="1:10" s="10" customFormat="1" ht="46.8" x14ac:dyDescent="0.3">
      <c r="A203" s="12" t="s">
        <v>403</v>
      </c>
      <c r="B203" s="78" t="s">
        <v>400</v>
      </c>
      <c r="C203" s="99">
        <v>0</v>
      </c>
      <c r="D203" s="99">
        <v>3000000</v>
      </c>
      <c r="E203" s="13">
        <v>0</v>
      </c>
      <c r="F203" s="13">
        <f t="shared" si="135"/>
        <v>3000000</v>
      </c>
      <c r="G203" s="13" t="s">
        <v>434</v>
      </c>
      <c r="H203" s="13">
        <f t="shared" si="136"/>
        <v>0</v>
      </c>
      <c r="J203" s="9"/>
    </row>
    <row r="204" spans="1:10" s="10" customFormat="1" ht="62.4" x14ac:dyDescent="0.3">
      <c r="A204" s="12" t="s">
        <v>404</v>
      </c>
      <c r="B204" s="78" t="s">
        <v>400</v>
      </c>
      <c r="C204" s="99">
        <v>0</v>
      </c>
      <c r="D204" s="99">
        <v>30303.040000000001</v>
      </c>
      <c r="E204" s="13">
        <v>21515.15</v>
      </c>
      <c r="F204" s="13">
        <f t="shared" si="135"/>
        <v>8787.89</v>
      </c>
      <c r="G204" s="13" t="s">
        <v>434</v>
      </c>
      <c r="H204" s="13">
        <f t="shared" si="136"/>
        <v>71</v>
      </c>
      <c r="J204" s="9"/>
    </row>
    <row r="205" spans="1:10" s="10" customFormat="1" ht="46.8" x14ac:dyDescent="0.3">
      <c r="A205" s="17" t="s">
        <v>221</v>
      </c>
      <c r="B205" s="77" t="s">
        <v>47</v>
      </c>
      <c r="C205" s="100">
        <f>C206</f>
        <v>315990712.14999998</v>
      </c>
      <c r="D205" s="100">
        <f t="shared" ref="D205:E206" si="137">D206</f>
        <v>360926965.06999999</v>
      </c>
      <c r="E205" s="19">
        <f t="shared" si="137"/>
        <v>241444559.56999999</v>
      </c>
      <c r="F205" s="19">
        <f t="shared" si="135"/>
        <v>119482405.5</v>
      </c>
      <c r="G205" s="19">
        <f t="shared" ref="G205:G234" si="138">$E205/$C205*100</f>
        <v>76.41</v>
      </c>
      <c r="H205" s="19">
        <f t="shared" si="136"/>
        <v>66.900000000000006</v>
      </c>
      <c r="J205" s="9"/>
    </row>
    <row r="206" spans="1:10" s="10" customFormat="1" ht="31.2" x14ac:dyDescent="0.3">
      <c r="A206" s="6" t="s">
        <v>219</v>
      </c>
      <c r="B206" s="77" t="s">
        <v>157</v>
      </c>
      <c r="C206" s="100">
        <f>C207</f>
        <v>315990712.14999998</v>
      </c>
      <c r="D206" s="100">
        <f t="shared" si="137"/>
        <v>360926965.06999999</v>
      </c>
      <c r="E206" s="19">
        <f t="shared" si="137"/>
        <v>241444559.56999999</v>
      </c>
      <c r="F206" s="19">
        <f t="shared" si="135"/>
        <v>119482405.5</v>
      </c>
      <c r="G206" s="19">
        <f t="shared" si="138"/>
        <v>76.41</v>
      </c>
      <c r="H206" s="19">
        <f t="shared" si="136"/>
        <v>66.900000000000006</v>
      </c>
      <c r="J206" s="9"/>
    </row>
    <row r="207" spans="1:10" s="10" customFormat="1" ht="15.6" x14ac:dyDescent="0.3">
      <c r="A207" s="6" t="s">
        <v>220</v>
      </c>
      <c r="B207" s="77" t="s">
        <v>154</v>
      </c>
      <c r="C207" s="100">
        <f>C208+C209+C210+C211+C212+C213+C214+C215+C216+C217+C218+C219+C220+C221+C222+C223+C224+C225+C226+C227+C228+C229+C230+C231+C232+C233</f>
        <v>315990712.14999998</v>
      </c>
      <c r="D207" s="100">
        <f t="shared" ref="D207:E207" si="139">D208+D209+D210+D211+D212+D213+D214+D215+D216+D217+D218+D219+D220+D221+D222+D223+D224+D225+D226+D227+D228+D229+D230+D231+D232+D233</f>
        <v>360926965.06999999</v>
      </c>
      <c r="E207" s="19">
        <f t="shared" si="139"/>
        <v>241444559.56999999</v>
      </c>
      <c r="F207" s="19">
        <f t="shared" si="135"/>
        <v>119482405.5</v>
      </c>
      <c r="G207" s="19">
        <f t="shared" si="138"/>
        <v>76.41</v>
      </c>
      <c r="H207" s="19">
        <f t="shared" si="136"/>
        <v>66.900000000000006</v>
      </c>
      <c r="J207" s="9"/>
    </row>
    <row r="208" spans="1:10" s="15" customFormat="1" ht="15.6" x14ac:dyDescent="0.3">
      <c r="A208" s="4" t="s">
        <v>333</v>
      </c>
      <c r="B208" s="78" t="s">
        <v>94</v>
      </c>
      <c r="C208" s="101">
        <f>3025000</f>
        <v>3025000</v>
      </c>
      <c r="D208" s="101">
        <v>4313814</v>
      </c>
      <c r="E208" s="20">
        <v>2812400.52</v>
      </c>
      <c r="F208" s="20">
        <f t="shared" si="135"/>
        <v>1501413.48</v>
      </c>
      <c r="G208" s="20">
        <f t="shared" si="138"/>
        <v>92.97</v>
      </c>
      <c r="H208" s="20">
        <f t="shared" si="136"/>
        <v>65.2</v>
      </c>
      <c r="J208" s="9"/>
    </row>
    <row r="209" spans="1:10" s="15" customFormat="1" ht="31.2" x14ac:dyDescent="0.3">
      <c r="A209" s="4" t="s">
        <v>30</v>
      </c>
      <c r="B209" s="78" t="s">
        <v>95</v>
      </c>
      <c r="C209" s="104">
        <f>123746583.16</f>
        <v>123746583.16</v>
      </c>
      <c r="D209" s="104">
        <v>142602459.41</v>
      </c>
      <c r="E209" s="33">
        <v>102321763.3</v>
      </c>
      <c r="F209" s="33">
        <f t="shared" si="135"/>
        <v>40280696.109999999</v>
      </c>
      <c r="G209" s="33">
        <f t="shared" si="138"/>
        <v>82.69</v>
      </c>
      <c r="H209" s="33">
        <f t="shared" si="136"/>
        <v>71.75</v>
      </c>
      <c r="J209" s="9"/>
    </row>
    <row r="210" spans="1:10" s="15" customFormat="1" ht="15.6" x14ac:dyDescent="0.3">
      <c r="A210" s="4" t="s">
        <v>339</v>
      </c>
      <c r="B210" s="78" t="s">
        <v>96</v>
      </c>
      <c r="C210" s="101">
        <f>3025000</f>
        <v>3025000</v>
      </c>
      <c r="D210" s="101">
        <f t="shared" ref="D210" si="140">3025000+277000+83600</f>
        <v>3385600</v>
      </c>
      <c r="E210" s="20">
        <v>2305789.21</v>
      </c>
      <c r="F210" s="20">
        <f t="shared" si="135"/>
        <v>1079810.79</v>
      </c>
      <c r="G210" s="20">
        <f t="shared" si="138"/>
        <v>76.22</v>
      </c>
      <c r="H210" s="20">
        <f t="shared" si="136"/>
        <v>68.11</v>
      </c>
      <c r="J210" s="9"/>
    </row>
    <row r="211" spans="1:10" s="15" customFormat="1" ht="15.6" x14ac:dyDescent="0.3">
      <c r="A211" s="4" t="s">
        <v>340</v>
      </c>
      <c r="B211" s="78" t="s">
        <v>357</v>
      </c>
      <c r="C211" s="101">
        <f>2473153.37</f>
        <v>2473153.37</v>
      </c>
      <c r="D211" s="101">
        <f t="shared" ref="D211" si="141">2473153.37-482000-145500</f>
        <v>1845653.37</v>
      </c>
      <c r="E211" s="20">
        <v>1251305.01</v>
      </c>
      <c r="F211" s="20">
        <f t="shared" si="135"/>
        <v>594348.36</v>
      </c>
      <c r="G211" s="20">
        <f t="shared" si="138"/>
        <v>50.6</v>
      </c>
      <c r="H211" s="20">
        <f t="shared" si="136"/>
        <v>67.8</v>
      </c>
      <c r="J211" s="9"/>
    </row>
    <row r="212" spans="1:10" s="15" customFormat="1" ht="15.6" x14ac:dyDescent="0.3">
      <c r="A212" s="4" t="s">
        <v>31</v>
      </c>
      <c r="B212" s="78" t="s">
        <v>97</v>
      </c>
      <c r="C212" s="101">
        <f>2023906.26</f>
        <v>2023906.26</v>
      </c>
      <c r="D212" s="101">
        <f t="shared" ref="D212" si="142">2023906.26+177145.79+53498.03</f>
        <v>2254550.08</v>
      </c>
      <c r="E212" s="20">
        <v>1686310.2</v>
      </c>
      <c r="F212" s="20">
        <f t="shared" si="135"/>
        <v>568239.88</v>
      </c>
      <c r="G212" s="20">
        <f t="shared" si="138"/>
        <v>83.32</v>
      </c>
      <c r="H212" s="20">
        <f t="shared" si="136"/>
        <v>74.8</v>
      </c>
      <c r="J212" s="9"/>
    </row>
    <row r="213" spans="1:10" s="15" customFormat="1" ht="31.2" x14ac:dyDescent="0.3">
      <c r="A213" s="4" t="s">
        <v>222</v>
      </c>
      <c r="B213" s="78" t="s">
        <v>98</v>
      </c>
      <c r="C213" s="99">
        <f>20998956.6</f>
        <v>20998956.600000001</v>
      </c>
      <c r="D213" s="99">
        <f t="shared" ref="D213" si="143">20998956.6-537217+73217+464000-4808460+425000+128018+190520+3542922+522000</f>
        <v>20998956.600000001</v>
      </c>
      <c r="E213" s="13">
        <v>10792104.550000001</v>
      </c>
      <c r="F213" s="13">
        <f t="shared" si="135"/>
        <v>10206852.050000001</v>
      </c>
      <c r="G213" s="13">
        <f t="shared" si="138"/>
        <v>51.39</v>
      </c>
      <c r="H213" s="13">
        <f t="shared" si="136"/>
        <v>51.39</v>
      </c>
      <c r="J213" s="9"/>
    </row>
    <row r="214" spans="1:10" s="15" customFormat="1" ht="31.2" x14ac:dyDescent="0.3">
      <c r="A214" s="4" t="s">
        <v>29</v>
      </c>
      <c r="B214" s="78" t="s">
        <v>99</v>
      </c>
      <c r="C214" s="101">
        <f>100000</f>
        <v>100000</v>
      </c>
      <c r="D214" s="101">
        <f t="shared" ref="D214" si="144">100000+68828.92+262700+57092.68</f>
        <v>488621.6</v>
      </c>
      <c r="E214" s="20">
        <v>487627.52000000002</v>
      </c>
      <c r="F214" s="20">
        <f t="shared" si="135"/>
        <v>994.08</v>
      </c>
      <c r="G214" s="20">
        <f t="shared" si="138"/>
        <v>487.63</v>
      </c>
      <c r="H214" s="20">
        <f t="shared" si="136"/>
        <v>99.8</v>
      </c>
      <c r="J214" s="9"/>
    </row>
    <row r="215" spans="1:10" s="15" customFormat="1" ht="15.6" x14ac:dyDescent="0.3">
      <c r="A215" s="4" t="s">
        <v>27</v>
      </c>
      <c r="B215" s="78" t="s">
        <v>266</v>
      </c>
      <c r="C215" s="99">
        <v>72000</v>
      </c>
      <c r="D215" s="99">
        <v>72000</v>
      </c>
      <c r="E215" s="13">
        <v>13261.79</v>
      </c>
      <c r="F215" s="13">
        <f t="shared" si="135"/>
        <v>58738.21</v>
      </c>
      <c r="G215" s="13">
        <f t="shared" si="138"/>
        <v>18.420000000000002</v>
      </c>
      <c r="H215" s="13">
        <f t="shared" si="136"/>
        <v>18.420000000000002</v>
      </c>
      <c r="J215" s="9"/>
    </row>
    <row r="216" spans="1:10" s="15" customFormat="1" ht="46.8" outlineLevel="5" x14ac:dyDescent="0.3">
      <c r="A216" s="12" t="s">
        <v>341</v>
      </c>
      <c r="B216" s="78" t="s">
        <v>370</v>
      </c>
      <c r="C216" s="99">
        <f>150000</f>
        <v>150000</v>
      </c>
      <c r="D216" s="99">
        <f t="shared" ref="D216" si="145">150000+300000+300000</f>
        <v>750000</v>
      </c>
      <c r="E216" s="13">
        <v>511082</v>
      </c>
      <c r="F216" s="13">
        <f t="shared" si="135"/>
        <v>238918</v>
      </c>
      <c r="G216" s="13">
        <f t="shared" si="138"/>
        <v>340.72</v>
      </c>
      <c r="H216" s="13">
        <f t="shared" si="136"/>
        <v>68.14</v>
      </c>
      <c r="J216" s="9"/>
    </row>
    <row r="217" spans="1:10" s="15" customFormat="1" ht="31.2" outlineLevel="5" x14ac:dyDescent="0.3">
      <c r="A217" s="30" t="s">
        <v>311</v>
      </c>
      <c r="B217" s="96" t="s">
        <v>102</v>
      </c>
      <c r="C217" s="99">
        <f>16395503.9</f>
        <v>16395503.9</v>
      </c>
      <c r="D217" s="99">
        <v>23172434.719999999</v>
      </c>
      <c r="E217" s="13">
        <v>10405859.99</v>
      </c>
      <c r="F217" s="13">
        <f t="shared" si="135"/>
        <v>12766574.73</v>
      </c>
      <c r="G217" s="13">
        <f t="shared" si="138"/>
        <v>63.47</v>
      </c>
      <c r="H217" s="13">
        <f t="shared" si="136"/>
        <v>44.91</v>
      </c>
      <c r="J217" s="9"/>
    </row>
    <row r="218" spans="1:10" s="15" customFormat="1" ht="31.2" x14ac:dyDescent="0.3">
      <c r="A218" s="12" t="s">
        <v>36</v>
      </c>
      <c r="B218" s="78" t="s">
        <v>100</v>
      </c>
      <c r="C218" s="99">
        <v>3500000</v>
      </c>
      <c r="D218" s="99">
        <v>3500000</v>
      </c>
      <c r="E218" s="13">
        <v>411980.96</v>
      </c>
      <c r="F218" s="13">
        <f t="shared" si="135"/>
        <v>3088019.04</v>
      </c>
      <c r="G218" s="13">
        <f t="shared" si="138"/>
        <v>11.77</v>
      </c>
      <c r="H218" s="13">
        <f t="shared" si="136"/>
        <v>11.77</v>
      </c>
      <c r="J218" s="9"/>
    </row>
    <row r="219" spans="1:10" s="15" customFormat="1" ht="31.2" x14ac:dyDescent="0.3">
      <c r="A219" s="12" t="s">
        <v>174</v>
      </c>
      <c r="B219" s="78" t="s">
        <v>312</v>
      </c>
      <c r="C219" s="99">
        <v>266000</v>
      </c>
      <c r="D219" s="99">
        <v>266000</v>
      </c>
      <c r="E219" s="13">
        <v>81900</v>
      </c>
      <c r="F219" s="13">
        <f t="shared" si="135"/>
        <v>184100</v>
      </c>
      <c r="G219" s="13">
        <f t="shared" si="138"/>
        <v>30.79</v>
      </c>
      <c r="H219" s="13">
        <f t="shared" si="136"/>
        <v>30.79</v>
      </c>
      <c r="J219" s="9"/>
    </row>
    <row r="220" spans="1:10" s="15" customFormat="1" ht="31.2" x14ac:dyDescent="0.3">
      <c r="A220" s="40" t="s">
        <v>383</v>
      </c>
      <c r="B220" s="78" t="s">
        <v>175</v>
      </c>
      <c r="C220" s="99">
        <f>2064428.3</f>
        <v>2064428.3</v>
      </c>
      <c r="D220" s="99">
        <f t="shared" ref="D220" si="146">2064428.3+1495000</f>
        <v>3559428.3</v>
      </c>
      <c r="E220" s="13">
        <v>985722.91</v>
      </c>
      <c r="F220" s="13">
        <f t="shared" si="135"/>
        <v>2573705.39</v>
      </c>
      <c r="G220" s="13">
        <f t="shared" si="138"/>
        <v>47.75</v>
      </c>
      <c r="H220" s="13">
        <f t="shared" si="136"/>
        <v>27.69</v>
      </c>
      <c r="J220" s="9"/>
    </row>
    <row r="221" spans="1:10" s="15" customFormat="1" ht="15.6" x14ac:dyDescent="0.3">
      <c r="A221" s="40" t="s">
        <v>177</v>
      </c>
      <c r="B221" s="78" t="s">
        <v>176</v>
      </c>
      <c r="C221" s="99">
        <f>6878000</f>
        <v>6878000</v>
      </c>
      <c r="D221" s="99">
        <v>14713801.73</v>
      </c>
      <c r="E221" s="13">
        <v>7591414.1399999997</v>
      </c>
      <c r="F221" s="13">
        <f t="shared" si="135"/>
        <v>7122387.5899999999</v>
      </c>
      <c r="G221" s="13">
        <f t="shared" si="138"/>
        <v>110.37</v>
      </c>
      <c r="H221" s="13">
        <f t="shared" si="136"/>
        <v>51.59</v>
      </c>
      <c r="J221" s="9"/>
    </row>
    <row r="222" spans="1:10" s="15" customFormat="1" ht="62.4" x14ac:dyDescent="0.3">
      <c r="A222" s="23" t="s">
        <v>32</v>
      </c>
      <c r="B222" s="81" t="s">
        <v>156</v>
      </c>
      <c r="C222" s="99">
        <f>2932332</f>
        <v>2932332</v>
      </c>
      <c r="D222" s="99">
        <f t="shared" ref="D222" si="147">2932332-540556</f>
        <v>2391776</v>
      </c>
      <c r="E222" s="13">
        <v>1201002.8999999999</v>
      </c>
      <c r="F222" s="13">
        <f t="shared" si="135"/>
        <v>1190773.1000000001</v>
      </c>
      <c r="G222" s="13">
        <f t="shared" si="138"/>
        <v>40.96</v>
      </c>
      <c r="H222" s="13">
        <f t="shared" si="136"/>
        <v>50.21</v>
      </c>
      <c r="J222" s="9"/>
    </row>
    <row r="223" spans="1:10" s="15" customFormat="1" ht="62.4" x14ac:dyDescent="0.3">
      <c r="A223" s="44" t="s">
        <v>49</v>
      </c>
      <c r="B223" s="78" t="s">
        <v>223</v>
      </c>
      <c r="C223" s="101">
        <f>4848</f>
        <v>4848</v>
      </c>
      <c r="D223" s="101">
        <f t="shared" ref="D223:E223" si="148">4848+12868</f>
        <v>17716</v>
      </c>
      <c r="E223" s="20">
        <f t="shared" si="148"/>
        <v>17716</v>
      </c>
      <c r="F223" s="20">
        <f t="shared" si="135"/>
        <v>0</v>
      </c>
      <c r="G223" s="20">
        <f t="shared" si="138"/>
        <v>365.43</v>
      </c>
      <c r="H223" s="20">
        <f t="shared" si="136"/>
        <v>100</v>
      </c>
      <c r="J223" s="9"/>
    </row>
    <row r="224" spans="1:10" s="15" customFormat="1" ht="93.6" x14ac:dyDescent="0.3">
      <c r="A224" s="45" t="s">
        <v>369</v>
      </c>
      <c r="B224" s="78" t="s">
        <v>72</v>
      </c>
      <c r="C224" s="99">
        <f>1121405</f>
        <v>1121405</v>
      </c>
      <c r="D224" s="99">
        <f t="shared" ref="D224" si="149">1121405-35672</f>
        <v>1085733</v>
      </c>
      <c r="E224" s="13">
        <v>776821.75</v>
      </c>
      <c r="F224" s="13">
        <f t="shared" si="135"/>
        <v>308911.25</v>
      </c>
      <c r="G224" s="13">
        <f t="shared" si="138"/>
        <v>69.27</v>
      </c>
      <c r="H224" s="13">
        <f t="shared" si="136"/>
        <v>71.55</v>
      </c>
      <c r="J224" s="9"/>
    </row>
    <row r="225" spans="1:10" s="15" customFormat="1" ht="31.2" x14ac:dyDescent="0.3">
      <c r="A225" s="4" t="s">
        <v>41</v>
      </c>
      <c r="B225" s="78" t="s">
        <v>101</v>
      </c>
      <c r="C225" s="101">
        <f>117996328.6</f>
        <v>117996328.59999999</v>
      </c>
      <c r="D225" s="101">
        <f t="shared" ref="D225" si="150">117996328.6+867980+1437385.3+4852425.86</f>
        <v>125154119.76000001</v>
      </c>
      <c r="E225" s="20">
        <v>91533253.040000007</v>
      </c>
      <c r="F225" s="20">
        <f t="shared" si="135"/>
        <v>33620866.719999999</v>
      </c>
      <c r="G225" s="20">
        <f t="shared" si="138"/>
        <v>77.569999999999993</v>
      </c>
      <c r="H225" s="20">
        <f t="shared" si="136"/>
        <v>73.14</v>
      </c>
      <c r="J225" s="9"/>
    </row>
    <row r="226" spans="1:10" s="15" customFormat="1" ht="31.2" x14ac:dyDescent="0.3">
      <c r="A226" s="4" t="s">
        <v>33</v>
      </c>
      <c r="B226" s="78" t="s">
        <v>375</v>
      </c>
      <c r="C226" s="101">
        <f>1751461</f>
        <v>1751461</v>
      </c>
      <c r="D226" s="101">
        <f t="shared" ref="D226" si="151">1751461-27715</f>
        <v>1723746</v>
      </c>
      <c r="E226" s="20">
        <v>800731.73</v>
      </c>
      <c r="F226" s="20">
        <f t="shared" si="135"/>
        <v>923014.27</v>
      </c>
      <c r="G226" s="20">
        <f t="shared" si="138"/>
        <v>45.72</v>
      </c>
      <c r="H226" s="20">
        <f t="shared" si="136"/>
        <v>46.45</v>
      </c>
      <c r="J226" s="9"/>
    </row>
    <row r="227" spans="1:10" s="15" customFormat="1" ht="31.2" x14ac:dyDescent="0.3">
      <c r="A227" s="4" t="s">
        <v>35</v>
      </c>
      <c r="B227" s="78" t="s">
        <v>376</v>
      </c>
      <c r="C227" s="101">
        <v>1190768</v>
      </c>
      <c r="D227" s="101">
        <v>1190768</v>
      </c>
      <c r="E227" s="20">
        <v>599528.27</v>
      </c>
      <c r="F227" s="20">
        <f t="shared" si="135"/>
        <v>591239.73</v>
      </c>
      <c r="G227" s="20">
        <f t="shared" si="138"/>
        <v>50.35</v>
      </c>
      <c r="H227" s="20">
        <f t="shared" si="136"/>
        <v>50.35</v>
      </c>
      <c r="J227" s="9"/>
    </row>
    <row r="228" spans="1:10" s="15" customFormat="1" ht="78" x14ac:dyDescent="0.3">
      <c r="A228" s="46" t="s">
        <v>158</v>
      </c>
      <c r="B228" s="84" t="s">
        <v>58</v>
      </c>
      <c r="C228" s="99">
        <f>2102922.68</f>
        <v>2102922.6800000002</v>
      </c>
      <c r="D228" s="99">
        <f t="shared" ref="D228" si="152">2102922.68+1203472.54</f>
        <v>3306395.22</v>
      </c>
      <c r="E228" s="13">
        <v>2606104.64</v>
      </c>
      <c r="F228" s="13">
        <f t="shared" si="135"/>
        <v>700290.58</v>
      </c>
      <c r="G228" s="13">
        <f t="shared" si="138"/>
        <v>123.93</v>
      </c>
      <c r="H228" s="13">
        <f t="shared" si="136"/>
        <v>78.819999999999993</v>
      </c>
      <c r="J228" s="9"/>
    </row>
    <row r="229" spans="1:10" s="15" customFormat="1" ht="46.8" x14ac:dyDescent="0.3">
      <c r="A229" s="23" t="s">
        <v>34</v>
      </c>
      <c r="B229" s="97" t="s">
        <v>155</v>
      </c>
      <c r="C229" s="99">
        <f>1219473</f>
        <v>1219473</v>
      </c>
      <c r="D229" s="99">
        <f t="shared" ref="D229" si="153">1219473-11440</f>
        <v>1208033</v>
      </c>
      <c r="E229" s="13">
        <v>745379.72</v>
      </c>
      <c r="F229" s="13">
        <f t="shared" si="135"/>
        <v>462653.28</v>
      </c>
      <c r="G229" s="13">
        <f t="shared" si="138"/>
        <v>61.12</v>
      </c>
      <c r="H229" s="13">
        <f t="shared" si="136"/>
        <v>61.7</v>
      </c>
      <c r="J229" s="9"/>
    </row>
    <row r="230" spans="1:10" s="15" customFormat="1" ht="46.8" x14ac:dyDescent="0.3">
      <c r="A230" s="47" t="s">
        <v>68</v>
      </c>
      <c r="B230" s="83" t="s">
        <v>286</v>
      </c>
      <c r="C230" s="99">
        <v>5166.2</v>
      </c>
      <c r="D230" s="99">
        <v>5166.2</v>
      </c>
      <c r="E230" s="13">
        <v>3013.64</v>
      </c>
      <c r="F230" s="13">
        <f t="shared" si="135"/>
        <v>2152.56</v>
      </c>
      <c r="G230" s="13">
        <f t="shared" si="138"/>
        <v>58.33</v>
      </c>
      <c r="H230" s="13">
        <f t="shared" si="136"/>
        <v>58.33</v>
      </c>
      <c r="J230" s="9"/>
    </row>
    <row r="231" spans="1:10" s="15" customFormat="1" ht="46.8" x14ac:dyDescent="0.3">
      <c r="A231" s="30" t="s">
        <v>384</v>
      </c>
      <c r="B231" s="83" t="s">
        <v>81</v>
      </c>
      <c r="C231" s="99">
        <v>3387.08</v>
      </c>
      <c r="D231" s="99">
        <v>3387.08</v>
      </c>
      <c r="E231" s="13">
        <v>0</v>
      </c>
      <c r="F231" s="13">
        <f t="shared" si="135"/>
        <v>3387.08</v>
      </c>
      <c r="G231" s="13">
        <f t="shared" si="138"/>
        <v>0</v>
      </c>
      <c r="H231" s="13">
        <f t="shared" si="136"/>
        <v>0</v>
      </c>
      <c r="J231" s="9"/>
    </row>
    <row r="232" spans="1:10" s="15" customFormat="1" ht="46.8" x14ac:dyDescent="0.3">
      <c r="A232" s="21" t="s">
        <v>152</v>
      </c>
      <c r="B232" s="85" t="s">
        <v>224</v>
      </c>
      <c r="C232" s="101">
        <f>2607156</f>
        <v>2607156</v>
      </c>
      <c r="D232" s="101">
        <f t="shared" ref="D232" si="154">2607156-24273</f>
        <v>2582883</v>
      </c>
      <c r="E232" s="20">
        <v>1502485.78</v>
      </c>
      <c r="F232" s="20">
        <f t="shared" si="135"/>
        <v>1080397.22</v>
      </c>
      <c r="G232" s="20">
        <f t="shared" si="138"/>
        <v>57.63</v>
      </c>
      <c r="H232" s="20">
        <f t="shared" si="136"/>
        <v>58.17</v>
      </c>
      <c r="J232" s="9"/>
    </row>
    <row r="233" spans="1:10" s="15" customFormat="1" ht="46.8" x14ac:dyDescent="0.3">
      <c r="A233" s="48" t="s">
        <v>334</v>
      </c>
      <c r="B233" s="81" t="s">
        <v>119</v>
      </c>
      <c r="C233" s="99">
        <f>336933</f>
        <v>336933</v>
      </c>
      <c r="D233" s="99">
        <f t="shared" ref="D233" si="155">336933-3011</f>
        <v>333922</v>
      </c>
      <c r="E233" s="13">
        <v>0</v>
      </c>
      <c r="F233" s="13">
        <f t="shared" si="135"/>
        <v>333922</v>
      </c>
      <c r="G233" s="13">
        <f t="shared" si="138"/>
        <v>0</v>
      </c>
      <c r="H233" s="13">
        <f t="shared" si="136"/>
        <v>0</v>
      </c>
      <c r="J233" s="9"/>
    </row>
    <row r="234" spans="1:10" s="15" customFormat="1" ht="15.6" customHeight="1" x14ac:dyDescent="0.3">
      <c r="A234" s="6" t="s">
        <v>28</v>
      </c>
      <c r="B234" s="77"/>
      <c r="C234" s="100">
        <f>C7+C10+C61+C76+C100+C129+C135+C143+C152+C166+C179+C183+C189+C195+C205+C175</f>
        <v>1418604592.0899999</v>
      </c>
      <c r="D234" s="100">
        <f t="shared" ref="D234:E234" si="156">D7+D10+D61+D76+D100+D129+D135+D143+D152+D166+D179+D183+D189+D195+D205+D175</f>
        <v>1476551399.79</v>
      </c>
      <c r="E234" s="19">
        <f t="shared" si="156"/>
        <v>1005501272.34</v>
      </c>
      <c r="F234" s="19">
        <f t="shared" si="135"/>
        <v>471050127.44999999</v>
      </c>
      <c r="G234" s="19">
        <f t="shared" si="138"/>
        <v>70.88</v>
      </c>
      <c r="H234" s="19">
        <f t="shared" si="136"/>
        <v>68.099999999999994</v>
      </c>
      <c r="J234" s="9"/>
    </row>
    <row r="235" spans="1:10" s="49" customFormat="1" ht="15" x14ac:dyDescent="0.25">
      <c r="C235" s="110"/>
      <c r="D235" s="105"/>
      <c r="F235" s="50"/>
      <c r="G235" s="51"/>
    </row>
    <row r="236" spans="1:10" s="10" customFormat="1" ht="15" customHeight="1" x14ac:dyDescent="0.3">
      <c r="A236" s="15"/>
      <c r="B236" s="15"/>
      <c r="C236" s="111"/>
      <c r="D236" s="106"/>
      <c r="E236" s="15"/>
      <c r="F236" s="8"/>
      <c r="G236" s="9"/>
    </row>
    <row r="237" spans="1:10" s="10" customFormat="1" ht="15.6" x14ac:dyDescent="0.3">
      <c r="A237" s="14"/>
      <c r="B237" s="15"/>
      <c r="C237" s="108"/>
      <c r="D237" s="107"/>
      <c r="E237" s="14"/>
      <c r="F237" s="8"/>
      <c r="G237" s="9"/>
    </row>
    <row r="238" spans="1:10" s="10" customFormat="1" ht="15.6" x14ac:dyDescent="0.3">
      <c r="A238" s="15"/>
      <c r="B238" s="15"/>
      <c r="C238" s="108"/>
      <c r="D238" s="108"/>
      <c r="E238" s="14"/>
      <c r="F238" s="8"/>
      <c r="G238" s="9"/>
    </row>
    <row r="239" spans="1:10" s="10" customFormat="1" ht="15.6" x14ac:dyDescent="0.3">
      <c r="A239" s="14"/>
      <c r="B239" s="15"/>
      <c r="C239" s="108"/>
      <c r="D239" s="108"/>
      <c r="E239" s="14"/>
      <c r="F239" s="8"/>
      <c r="G239" s="9"/>
    </row>
    <row r="240" spans="1:10" s="10" customFormat="1" ht="15.6" x14ac:dyDescent="0.3">
      <c r="A240" s="15"/>
      <c r="B240" s="15"/>
      <c r="C240" s="108"/>
      <c r="D240" s="108"/>
      <c r="E240" s="14"/>
      <c r="F240" s="8"/>
      <c r="G240" s="9"/>
    </row>
    <row r="241" spans="1:7" s="10" customFormat="1" ht="15.6" x14ac:dyDescent="0.3">
      <c r="A241" s="15"/>
      <c r="B241" s="15"/>
      <c r="C241" s="108"/>
      <c r="D241" s="108"/>
      <c r="E241" s="14"/>
      <c r="F241" s="8"/>
      <c r="G241" s="9"/>
    </row>
    <row r="242" spans="1:7" s="10" customFormat="1" ht="15.6" x14ac:dyDescent="0.3">
      <c r="A242" s="15"/>
      <c r="B242" s="15"/>
      <c r="C242" s="111"/>
      <c r="D242" s="106"/>
      <c r="F242" s="8"/>
      <c r="G242" s="9"/>
    </row>
    <row r="243" spans="1:7" s="10" customFormat="1" ht="15.6" x14ac:dyDescent="0.3">
      <c r="A243" s="15"/>
      <c r="B243" s="15"/>
      <c r="C243" s="111"/>
      <c r="D243" s="106"/>
      <c r="F243" s="8"/>
      <c r="G243" s="9"/>
    </row>
    <row r="244" spans="1:7" s="10" customFormat="1" ht="15.6" x14ac:dyDescent="0.3">
      <c r="A244" s="15"/>
      <c r="B244" s="15"/>
      <c r="C244" s="111"/>
      <c r="D244" s="106"/>
      <c r="F244" s="8"/>
      <c r="G244" s="9"/>
    </row>
    <row r="245" spans="1:7" s="10" customFormat="1" ht="15.6" x14ac:dyDescent="0.3">
      <c r="A245" s="15"/>
      <c r="B245" s="15"/>
      <c r="C245" s="111"/>
      <c r="D245" s="106"/>
      <c r="F245" s="8"/>
      <c r="G245" s="9"/>
    </row>
    <row r="246" spans="1:7" s="10" customFormat="1" ht="15.6" x14ac:dyDescent="0.3">
      <c r="A246" s="15"/>
      <c r="B246" s="15"/>
      <c r="C246" s="111"/>
      <c r="D246" s="106"/>
      <c r="F246" s="8"/>
      <c r="G246" s="9"/>
    </row>
    <row r="247" spans="1:7" s="10" customFormat="1" ht="15.6" x14ac:dyDescent="0.3">
      <c r="A247" s="15"/>
      <c r="B247" s="15"/>
      <c r="C247" s="111"/>
      <c r="D247" s="106"/>
      <c r="F247" s="8"/>
      <c r="G247" s="9"/>
    </row>
    <row r="248" spans="1:7" s="10" customFormat="1" ht="15.6" x14ac:dyDescent="0.3">
      <c r="A248" s="15"/>
      <c r="B248" s="15"/>
      <c r="C248" s="111"/>
      <c r="D248" s="106"/>
      <c r="F248" s="8"/>
      <c r="G248" s="9"/>
    </row>
    <row r="249" spans="1:7" s="52" customFormat="1" ht="18.75" customHeight="1" x14ac:dyDescent="0.3">
      <c r="A249" s="49"/>
      <c r="B249" s="49"/>
      <c r="C249" s="110"/>
      <c r="D249" s="105"/>
      <c r="F249" s="53"/>
      <c r="G249" s="54"/>
    </row>
    <row r="250" spans="1:7" s="52" customFormat="1" ht="23.7" customHeight="1" x14ac:dyDescent="0.3">
      <c r="A250" s="49"/>
      <c r="B250" s="49"/>
      <c r="C250" s="110"/>
      <c r="D250" s="105"/>
      <c r="F250" s="53"/>
      <c r="G250" s="54"/>
    </row>
    <row r="251" spans="1:7" s="52" customFormat="1" ht="15" customHeight="1" x14ac:dyDescent="0.3">
      <c r="A251" s="49"/>
      <c r="B251" s="49"/>
      <c r="C251" s="110"/>
      <c r="D251" s="105"/>
      <c r="F251" s="53"/>
      <c r="G251" s="54"/>
    </row>
    <row r="252" spans="1:7" s="52" customFormat="1" ht="15.6" x14ac:dyDescent="0.3">
      <c r="A252" s="49"/>
      <c r="B252" s="49"/>
      <c r="C252" s="110"/>
      <c r="D252" s="105"/>
      <c r="F252" s="53"/>
      <c r="G252" s="54"/>
    </row>
    <row r="253" spans="1:7" s="52" customFormat="1" ht="15.9" customHeight="1" x14ac:dyDescent="0.3">
      <c r="A253" s="49"/>
      <c r="B253" s="49"/>
      <c r="C253" s="110"/>
      <c r="D253" s="105"/>
      <c r="F253" s="53"/>
      <c r="G253" s="54"/>
    </row>
    <row r="254" spans="1:7" ht="15" x14ac:dyDescent="0.25">
      <c r="A254" s="49"/>
      <c r="B254" s="49"/>
      <c r="C254" s="110"/>
      <c r="D254" s="105"/>
    </row>
    <row r="255" spans="1:7" ht="12.9" customHeight="1" x14ac:dyDescent="0.25">
      <c r="A255" s="49"/>
      <c r="B255" s="49"/>
      <c r="C255" s="110"/>
      <c r="D255" s="105"/>
    </row>
    <row r="256" spans="1:7" ht="15" x14ac:dyDescent="0.25">
      <c r="A256" s="49"/>
      <c r="B256" s="49"/>
      <c r="C256" s="110"/>
      <c r="D256" s="105"/>
    </row>
    <row r="257" spans="1:7" s="55" customFormat="1" ht="15" x14ac:dyDescent="0.25">
      <c r="A257" s="49"/>
      <c r="B257" s="49"/>
      <c r="C257" s="110"/>
      <c r="D257" s="105"/>
      <c r="E257" s="3"/>
      <c r="F257" s="1"/>
      <c r="G257" s="2"/>
    </row>
    <row r="258" spans="1:7" s="55" customFormat="1" x14ac:dyDescent="0.25">
      <c r="A258" s="3"/>
      <c r="B258" s="3"/>
      <c r="C258" s="112"/>
      <c r="D258" s="109"/>
      <c r="E258" s="3"/>
      <c r="F258" s="1"/>
      <c r="G258" s="2"/>
    </row>
    <row r="259" spans="1:7" s="55" customFormat="1" x14ac:dyDescent="0.25">
      <c r="A259" s="3"/>
      <c r="B259" s="3"/>
      <c r="C259" s="112"/>
      <c r="D259" s="109"/>
      <c r="E259" s="3"/>
      <c r="F259" s="1"/>
      <c r="G259" s="2"/>
    </row>
  </sheetData>
  <mergeCells count="2">
    <mergeCell ref="F2:H2"/>
    <mergeCell ref="A3:H3"/>
  </mergeCells>
  <pageMargins left="0.98425196850393704" right="0.59055118110236227" top="0.35433070866141736" bottom="0.43307086614173229" header="0.15748031496062992" footer="0.31496062992125984"/>
  <pageSetup paperSize="9" scale="42" fitToHeight="10" orientation="portrait" horizontalDpi="1200" verticalDpi="1200" r:id="rId1"/>
  <headerFooter alignWithMargins="0">
    <oddHeader>&amp;R&amp;P</oddHeader>
  </headerFooter>
  <rowBreaks count="1" manualBreakCount="1">
    <brk id="2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пограммная 1 чтение</vt:lpstr>
      <vt:lpstr>'пограммная 1 чтение'!Область_печати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Пользователь Windows</cp:lastModifiedBy>
  <cp:lastPrinted>2024-06-24T05:28:33Z</cp:lastPrinted>
  <dcterms:created xsi:type="dcterms:W3CDTF">2002-10-08T15:02:13Z</dcterms:created>
  <dcterms:modified xsi:type="dcterms:W3CDTF">2024-10-29T06:46:41Z</dcterms:modified>
</cp:coreProperties>
</file>